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vBoxx VE\vBoxxCloud\DAEB Ede\Rietkampen\Onderzoeken warmteoplossingen\"/>
    </mc:Choice>
  </mc:AlternateContent>
  <xr:revisionPtr revIDLastSave="0" documentId="13_ncr:1_{F1EB1C33-1220-46FE-8570-63EC9BE548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elichting" sheetId="1" r:id="rId1"/>
    <sheet name="Samenvatting" sheetId="8" r:id="rId2"/>
    <sheet name="Oplossingen voor-nadelen" sheetId="9" r:id="rId3"/>
    <sheet name="Business case" sheetId="2" r:id="rId4"/>
    <sheet name="Investering" sheetId="3" r:id="rId5"/>
    <sheet name="Financiering" sheetId="4" r:id="rId6"/>
    <sheet name="Prijzen" sheetId="5" r:id="rId7"/>
    <sheet name="Kengetallen" sheetId="6" r:id="rId8"/>
    <sheet name="Isolatie+" sheetId="7" r:id="rId9"/>
  </sheets>
  <definedNames>
    <definedName name="_xlnm.Print_Area" localSheetId="3">'Business case'!$J$1:$Q$28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8" l="1"/>
  <c r="F4" i="8"/>
  <c r="H38" i="8"/>
  <c r="K22" i="8"/>
  <c r="J22" i="8"/>
  <c r="I22" i="8"/>
  <c r="M22" i="8"/>
  <c r="L22" i="8"/>
  <c r="H22" i="8"/>
  <c r="F41" i="8"/>
  <c r="F39" i="8"/>
  <c r="F38" i="8"/>
  <c r="F36" i="8"/>
  <c r="F35" i="8"/>
  <c r="F34" i="8"/>
  <c r="F33" i="8"/>
  <c r="F32" i="8"/>
  <c r="F31" i="8"/>
  <c r="F29" i="8"/>
  <c r="F28" i="8"/>
  <c r="F27" i="8"/>
  <c r="F26" i="8"/>
  <c r="F25" i="8"/>
  <c r="F24" i="8"/>
  <c r="F23" i="8"/>
  <c r="F20" i="8"/>
  <c r="J18" i="8"/>
  <c r="F18" i="8"/>
  <c r="I17" i="8"/>
  <c r="F17" i="8"/>
  <c r="M16" i="8"/>
  <c r="L16" i="8"/>
  <c r="F16" i="8"/>
  <c r="K15" i="8"/>
  <c r="J15" i="8"/>
  <c r="I15" i="8"/>
  <c r="M15" i="8"/>
  <c r="L15" i="8"/>
  <c r="F15" i="8"/>
  <c r="G14" i="8"/>
  <c r="F14" i="8"/>
  <c r="G13" i="8"/>
  <c r="F13" i="8"/>
  <c r="M12" i="8"/>
  <c r="F12" i="8"/>
  <c r="F11" i="8"/>
  <c r="G10" i="8"/>
  <c r="F10" i="8"/>
  <c r="G9" i="8"/>
  <c r="F9" i="8"/>
  <c r="K8" i="8"/>
  <c r="J8" i="8"/>
  <c r="I8" i="8"/>
  <c r="M8" i="8"/>
  <c r="L8" i="8"/>
  <c r="F8" i="8"/>
  <c r="K6" i="8"/>
  <c r="J6" i="8"/>
  <c r="I6" i="8"/>
  <c r="M6" i="8"/>
  <c r="L6" i="8"/>
  <c r="C15" i="8"/>
  <c r="B15" i="8"/>
  <c r="C13" i="8"/>
  <c r="D13" i="8"/>
  <c r="B13" i="8"/>
  <c r="C12" i="8"/>
  <c r="B12" i="8"/>
  <c r="D11" i="8"/>
  <c r="B11" i="8"/>
  <c r="D10" i="8"/>
  <c r="B10" i="8"/>
  <c r="C9" i="8"/>
  <c r="D9" i="8"/>
  <c r="B9" i="8"/>
  <c r="C8" i="8"/>
  <c r="D8" i="8"/>
  <c r="B8" i="8"/>
  <c r="C17" i="2"/>
  <c r="L11" i="8" s="1"/>
  <c r="D54" i="6"/>
  <c r="C104" i="3"/>
  <c r="C103" i="3"/>
  <c r="C70" i="3"/>
  <c r="C69" i="3"/>
  <c r="C52" i="3"/>
  <c r="C51" i="3"/>
  <c r="C34" i="3"/>
  <c r="C24" i="3"/>
  <c r="C33" i="3" s="1"/>
  <c r="E54" i="6"/>
  <c r="B54" i="6"/>
  <c r="B48" i="6"/>
  <c r="C19" i="3"/>
  <c r="C90" i="3"/>
  <c r="B161" i="2"/>
  <c r="AB78" i="2"/>
  <c r="AA78" i="2"/>
  <c r="Z78" i="2"/>
  <c r="Y78" i="2"/>
  <c r="X78" i="2"/>
  <c r="W78" i="2"/>
  <c r="V78" i="2"/>
  <c r="U78" i="2"/>
  <c r="T78" i="2"/>
  <c r="S78" i="2"/>
  <c r="R78" i="2"/>
  <c r="Q78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B77" i="2"/>
  <c r="AB77" i="2"/>
  <c r="AA77" i="2"/>
  <c r="Z77" i="2"/>
  <c r="Y77" i="2"/>
  <c r="X77" i="2"/>
  <c r="W77" i="2"/>
  <c r="V77" i="2"/>
  <c r="U77" i="2"/>
  <c r="T77" i="2"/>
  <c r="S77" i="2"/>
  <c r="R77" i="2"/>
  <c r="Q77" i="2"/>
  <c r="P77" i="2"/>
  <c r="O77" i="2"/>
  <c r="N77" i="2"/>
  <c r="M77" i="2"/>
  <c r="L77" i="2"/>
  <c r="K77" i="2"/>
  <c r="J77" i="2"/>
  <c r="I77" i="2"/>
  <c r="H77" i="2"/>
  <c r="G77" i="2"/>
  <c r="F77" i="2"/>
  <c r="E77" i="2"/>
  <c r="D77" i="2"/>
  <c r="C77" i="2"/>
  <c r="B78" i="2"/>
  <c r="B50" i="2"/>
  <c r="B51" i="2" s="1"/>
  <c r="B105" i="2"/>
  <c r="B49" i="2"/>
  <c r="C42" i="3"/>
  <c r="C44" i="3" s="1"/>
  <c r="C46" i="3" s="1"/>
  <c r="C37" i="3"/>
  <c r="F37" i="3" s="1"/>
  <c r="E46" i="3"/>
  <c r="E50" i="3" s="1"/>
  <c r="AD76" i="2"/>
  <c r="AD74" i="2"/>
  <c r="D17" i="2"/>
  <c r="M11" i="8" s="1"/>
  <c r="AB162" i="2"/>
  <c r="AA162" i="2"/>
  <c r="Z162" i="2"/>
  <c r="Y162" i="2"/>
  <c r="X162" i="2"/>
  <c r="W162" i="2"/>
  <c r="V162" i="2"/>
  <c r="U162" i="2"/>
  <c r="T162" i="2"/>
  <c r="S162" i="2"/>
  <c r="R162" i="2"/>
  <c r="Q162" i="2"/>
  <c r="P162" i="2"/>
  <c r="O162" i="2"/>
  <c r="N162" i="2"/>
  <c r="M162" i="2"/>
  <c r="L162" i="2"/>
  <c r="K162" i="2"/>
  <c r="J162" i="2"/>
  <c r="I162" i="2"/>
  <c r="H162" i="2"/>
  <c r="G162" i="2"/>
  <c r="F162" i="2"/>
  <c r="E162" i="2"/>
  <c r="D162" i="2"/>
  <c r="C162" i="2"/>
  <c r="B162" i="2"/>
  <c r="B163" i="2" s="1"/>
  <c r="AB161" i="2"/>
  <c r="AA161" i="2"/>
  <c r="Z161" i="2"/>
  <c r="Y161" i="2"/>
  <c r="X161" i="2"/>
  <c r="W161" i="2"/>
  <c r="V161" i="2"/>
  <c r="U161" i="2"/>
  <c r="T161" i="2"/>
  <c r="S161" i="2"/>
  <c r="R161" i="2"/>
  <c r="Q161" i="2"/>
  <c r="P161" i="2"/>
  <c r="O161" i="2"/>
  <c r="N161" i="2"/>
  <c r="M161" i="2"/>
  <c r="L161" i="2"/>
  <c r="K161" i="2"/>
  <c r="J161" i="2"/>
  <c r="I161" i="2"/>
  <c r="H161" i="2"/>
  <c r="G161" i="2"/>
  <c r="F161" i="2"/>
  <c r="E161" i="2"/>
  <c r="D161" i="2"/>
  <c r="C161" i="2"/>
  <c r="AD160" i="2"/>
  <c r="O8" i="2"/>
  <c r="O7" i="2"/>
  <c r="O6" i="2"/>
  <c r="O4" i="2"/>
  <c r="G17" i="2"/>
  <c r="K11" i="8" s="1"/>
  <c r="C87" i="3"/>
  <c r="E98" i="3"/>
  <c r="E102" i="3" s="1"/>
  <c r="C93" i="3"/>
  <c r="B56" i="6"/>
  <c r="B13" i="6"/>
  <c r="D15" i="7"/>
  <c r="G15" i="7" s="1"/>
  <c r="E14" i="7"/>
  <c r="B14" i="7"/>
  <c r="E13" i="7"/>
  <c r="D13" i="7"/>
  <c r="G13" i="7" s="1"/>
  <c r="D12" i="7"/>
  <c r="G12" i="7" s="1"/>
  <c r="E11" i="7"/>
  <c r="D11" i="7"/>
  <c r="G11" i="7" s="1"/>
  <c r="E10" i="7"/>
  <c r="D10" i="7"/>
  <c r="G10" i="7" s="1"/>
  <c r="E9" i="7"/>
  <c r="C9" i="7"/>
  <c r="E8" i="7"/>
  <c r="E16" i="7" s="1"/>
  <c r="D8" i="7"/>
  <c r="G8" i="7" s="1"/>
  <c r="D7" i="7"/>
  <c r="G7" i="7" s="1"/>
  <c r="D6" i="7"/>
  <c r="G6" i="7" s="1"/>
  <c r="D5" i="7"/>
  <c r="B73" i="6"/>
  <c r="E72" i="6"/>
  <c r="B72" i="6"/>
  <c r="E71" i="6"/>
  <c r="B71" i="6"/>
  <c r="E70" i="6"/>
  <c r="B70" i="6"/>
  <c r="E69" i="6"/>
  <c r="D53" i="6"/>
  <c r="E53" i="6" s="1"/>
  <c r="B53" i="6"/>
  <c r="D52" i="6"/>
  <c r="E52" i="6" s="1"/>
  <c r="B52" i="6"/>
  <c r="D51" i="6"/>
  <c r="E51" i="6" s="1"/>
  <c r="B51" i="6"/>
  <c r="D50" i="6"/>
  <c r="E50" i="6" s="1"/>
  <c r="B47" i="6"/>
  <c r="B23" i="3" s="1"/>
  <c r="D23" i="3" s="1"/>
  <c r="B14" i="6"/>
  <c r="B7" i="6"/>
  <c r="B5" i="6"/>
  <c r="C84" i="5"/>
  <c r="C77" i="5"/>
  <c r="D77" i="5" s="1"/>
  <c r="E77" i="5" s="1"/>
  <c r="F77" i="5" s="1"/>
  <c r="G77" i="5" s="1"/>
  <c r="H77" i="5" s="1"/>
  <c r="I77" i="5" s="1"/>
  <c r="J77" i="5" s="1"/>
  <c r="K77" i="5" s="1"/>
  <c r="L77" i="5" s="1"/>
  <c r="M77" i="5" s="1"/>
  <c r="N77" i="5" s="1"/>
  <c r="O77" i="5" s="1"/>
  <c r="P77" i="5" s="1"/>
  <c r="Q77" i="5" s="1"/>
  <c r="R77" i="5" s="1"/>
  <c r="S77" i="5" s="1"/>
  <c r="T77" i="5" s="1"/>
  <c r="C76" i="5"/>
  <c r="L68" i="5"/>
  <c r="K68" i="5"/>
  <c r="J68" i="5"/>
  <c r="I68" i="5"/>
  <c r="H68" i="5"/>
  <c r="G68" i="5"/>
  <c r="F68" i="5"/>
  <c r="E68" i="5"/>
  <c r="D68" i="5"/>
  <c r="C68" i="5"/>
  <c r="T67" i="5"/>
  <c r="S67" i="5"/>
  <c r="R67" i="5"/>
  <c r="Q67" i="5"/>
  <c r="P67" i="5"/>
  <c r="O67" i="5"/>
  <c r="N67" i="5"/>
  <c r="M67" i="5"/>
  <c r="L67" i="5"/>
  <c r="K67" i="5"/>
  <c r="J67" i="5"/>
  <c r="I67" i="5"/>
  <c r="H67" i="5"/>
  <c r="G67" i="5"/>
  <c r="F67" i="5"/>
  <c r="E67" i="5"/>
  <c r="D67" i="5"/>
  <c r="T66" i="5"/>
  <c r="S66" i="5"/>
  <c r="R66" i="5"/>
  <c r="Q66" i="5"/>
  <c r="P66" i="5"/>
  <c r="O66" i="5"/>
  <c r="N66" i="5"/>
  <c r="M66" i="5"/>
  <c r="L66" i="5"/>
  <c r="K66" i="5"/>
  <c r="J66" i="5"/>
  <c r="I66" i="5"/>
  <c r="H66" i="5"/>
  <c r="G66" i="5"/>
  <c r="F66" i="5"/>
  <c r="E66" i="5"/>
  <c r="D66" i="5"/>
  <c r="T65" i="5"/>
  <c r="T68" i="5" s="1"/>
  <c r="S65" i="5"/>
  <c r="S68" i="5" s="1"/>
  <c r="R65" i="5"/>
  <c r="R68" i="5" s="1"/>
  <c r="Q65" i="5"/>
  <c r="Q68" i="5" s="1"/>
  <c r="P65" i="5"/>
  <c r="P68" i="5" s="1"/>
  <c r="O65" i="5"/>
  <c r="O68" i="5" s="1"/>
  <c r="N65" i="5"/>
  <c r="N68" i="5" s="1"/>
  <c r="M65" i="5"/>
  <c r="M68" i="5" s="1"/>
  <c r="L65" i="5"/>
  <c r="K65" i="5"/>
  <c r="J65" i="5"/>
  <c r="I65" i="5"/>
  <c r="H65" i="5"/>
  <c r="G65" i="5"/>
  <c r="F65" i="5"/>
  <c r="E65" i="5"/>
  <c r="D65" i="5"/>
  <c r="B1" i="4"/>
  <c r="B77" i="3"/>
  <c r="B87" i="3" s="1"/>
  <c r="C76" i="3"/>
  <c r="C86" i="3" s="1"/>
  <c r="C60" i="3"/>
  <c r="D59" i="3"/>
  <c r="E16" i="3"/>
  <c r="C3" i="2" s="1"/>
  <c r="C10" i="8" s="1"/>
  <c r="D16" i="3"/>
  <c r="C16" i="3"/>
  <c r="B16" i="3"/>
  <c r="I15" i="3"/>
  <c r="G15" i="3"/>
  <c r="J15" i="3" s="1"/>
  <c r="I14" i="3"/>
  <c r="G14" i="3"/>
  <c r="J14" i="3" s="1"/>
  <c r="I13" i="3"/>
  <c r="G13" i="3"/>
  <c r="J13" i="3" s="1"/>
  <c r="I12" i="3"/>
  <c r="G12" i="3"/>
  <c r="J12" i="3" s="1"/>
  <c r="I11" i="3"/>
  <c r="G11" i="3"/>
  <c r="J11" i="3" s="1"/>
  <c r="I10" i="3"/>
  <c r="G10" i="3"/>
  <c r="J10" i="3" s="1"/>
  <c r="I9" i="3"/>
  <c r="G9" i="3"/>
  <c r="J9" i="3" s="1"/>
  <c r="I8" i="3"/>
  <c r="G8" i="3"/>
  <c r="I7" i="3"/>
  <c r="G7" i="3"/>
  <c r="J7" i="3" s="1"/>
  <c r="I6" i="3"/>
  <c r="G6" i="3"/>
  <c r="J6" i="3" s="1"/>
  <c r="I5" i="3"/>
  <c r="G5" i="3"/>
  <c r="AB134" i="2"/>
  <c r="AA134" i="2"/>
  <c r="Z134" i="2"/>
  <c r="Y134" i="2"/>
  <c r="X134" i="2"/>
  <c r="W134" i="2"/>
  <c r="V134" i="2"/>
  <c r="U134" i="2"/>
  <c r="T134" i="2"/>
  <c r="S134" i="2"/>
  <c r="R134" i="2"/>
  <c r="Q134" i="2"/>
  <c r="P134" i="2"/>
  <c r="O134" i="2"/>
  <c r="N134" i="2"/>
  <c r="M134" i="2"/>
  <c r="L134" i="2"/>
  <c r="K134" i="2"/>
  <c r="J134" i="2"/>
  <c r="I134" i="2"/>
  <c r="H134" i="2"/>
  <c r="G134" i="2"/>
  <c r="F134" i="2"/>
  <c r="E134" i="2"/>
  <c r="D134" i="2"/>
  <c r="C134" i="2"/>
  <c r="B134" i="2"/>
  <c r="AB133" i="2"/>
  <c r="AA133" i="2"/>
  <c r="Z133" i="2"/>
  <c r="Y133" i="2"/>
  <c r="X133" i="2"/>
  <c r="W133" i="2"/>
  <c r="V133" i="2"/>
  <c r="U133" i="2"/>
  <c r="T133" i="2"/>
  <c r="S133" i="2"/>
  <c r="R133" i="2"/>
  <c r="Q133" i="2"/>
  <c r="P133" i="2"/>
  <c r="O133" i="2"/>
  <c r="N133" i="2"/>
  <c r="M133" i="2"/>
  <c r="L133" i="2"/>
  <c r="K133" i="2"/>
  <c r="J133" i="2"/>
  <c r="I133" i="2"/>
  <c r="H133" i="2"/>
  <c r="G133" i="2"/>
  <c r="F133" i="2"/>
  <c r="E133" i="2"/>
  <c r="D133" i="2"/>
  <c r="C133" i="2"/>
  <c r="B133" i="2"/>
  <c r="AD132" i="2"/>
  <c r="AB106" i="2"/>
  <c r="AA106" i="2"/>
  <c r="Z106" i="2"/>
  <c r="Y106" i="2"/>
  <c r="X106" i="2"/>
  <c r="W106" i="2"/>
  <c r="V106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D106" i="2"/>
  <c r="C106" i="2"/>
  <c r="B106" i="2"/>
  <c r="AB105" i="2"/>
  <c r="AA105" i="2"/>
  <c r="Z105" i="2"/>
  <c r="Y105" i="2"/>
  <c r="X105" i="2"/>
  <c r="W105" i="2"/>
  <c r="V105" i="2"/>
  <c r="U105" i="2"/>
  <c r="T105" i="2"/>
  <c r="S105" i="2"/>
  <c r="R105" i="2"/>
  <c r="Q105" i="2"/>
  <c r="P105" i="2"/>
  <c r="O105" i="2"/>
  <c r="N105" i="2"/>
  <c r="M105" i="2"/>
  <c r="L105" i="2"/>
  <c r="K105" i="2"/>
  <c r="J105" i="2"/>
  <c r="I105" i="2"/>
  <c r="H105" i="2"/>
  <c r="G105" i="2"/>
  <c r="F105" i="2"/>
  <c r="E105" i="2"/>
  <c r="D105" i="2"/>
  <c r="C105" i="2"/>
  <c r="AD104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AD48" i="2"/>
  <c r="AD46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AB32" i="2"/>
  <c r="AB33" i="2" s="1"/>
  <c r="AA32" i="2"/>
  <c r="AA33" i="2" s="1"/>
  <c r="AA168" i="2" s="1"/>
  <c r="Z32" i="2"/>
  <c r="Z33" i="2" s="1"/>
  <c r="Z179" i="2" s="1"/>
  <c r="Y32" i="2"/>
  <c r="Y33" i="2" s="1"/>
  <c r="Y159" i="2" s="1"/>
  <c r="X32" i="2"/>
  <c r="X33" i="2" s="1"/>
  <c r="W32" i="2"/>
  <c r="W33" i="2" s="1"/>
  <c r="W85" i="2" s="1"/>
  <c r="V32" i="2"/>
  <c r="V33" i="2" s="1"/>
  <c r="U32" i="2"/>
  <c r="U33" i="2" s="1"/>
  <c r="T32" i="2"/>
  <c r="T33" i="2" s="1"/>
  <c r="T75" i="2" s="1"/>
  <c r="S32" i="2"/>
  <c r="S33" i="2" s="1"/>
  <c r="S168" i="2" s="1"/>
  <c r="R32" i="2"/>
  <c r="R33" i="2" s="1"/>
  <c r="R179" i="2" s="1"/>
  <c r="Q32" i="2"/>
  <c r="Q33" i="2" s="1"/>
  <c r="Q159" i="2" s="1"/>
  <c r="P32" i="2"/>
  <c r="P33" i="2" s="1"/>
  <c r="O32" i="2"/>
  <c r="O33" i="2" s="1"/>
  <c r="O179" i="2" s="1"/>
  <c r="N32" i="2"/>
  <c r="N33" i="2" s="1"/>
  <c r="N84" i="2" s="1"/>
  <c r="M32" i="2"/>
  <c r="M33" i="2" s="1"/>
  <c r="L32" i="2"/>
  <c r="L33" i="2" s="1"/>
  <c r="K32" i="2"/>
  <c r="K33" i="2" s="1"/>
  <c r="K170" i="2" s="1"/>
  <c r="J32" i="2"/>
  <c r="J33" i="2" s="1"/>
  <c r="J179" i="2" s="1"/>
  <c r="I32" i="2"/>
  <c r="I33" i="2" s="1"/>
  <c r="I159" i="2" s="1"/>
  <c r="H32" i="2"/>
  <c r="H33" i="2" s="1"/>
  <c r="G32" i="2"/>
  <c r="G33" i="2" s="1"/>
  <c r="F32" i="2"/>
  <c r="F33" i="2" s="1"/>
  <c r="E32" i="2"/>
  <c r="E33" i="2" s="1"/>
  <c r="D32" i="2"/>
  <c r="D33" i="2" s="1"/>
  <c r="C32" i="2"/>
  <c r="C33" i="2" s="1"/>
  <c r="C170" i="2" s="1"/>
  <c r="B32" i="2"/>
  <c r="B33" i="2" s="1"/>
  <c r="B60" i="2" s="1"/>
  <c r="C23" i="2"/>
  <c r="D23" i="2" s="1"/>
  <c r="L22" i="2"/>
  <c r="H41" i="8" s="1"/>
  <c r="C16" i="2"/>
  <c r="E16" i="2" s="1"/>
  <c r="F16" i="2" s="1"/>
  <c r="G16" i="2" s="1"/>
  <c r="K10" i="8" s="1"/>
  <c r="C4" i="2"/>
  <c r="Z167" i="2" s="1"/>
  <c r="C110" i="2" l="1"/>
  <c r="K110" i="2"/>
  <c r="S110" i="2"/>
  <c r="AA110" i="2"/>
  <c r="G138" i="2"/>
  <c r="O138" i="2"/>
  <c r="W138" i="2"/>
  <c r="C82" i="2"/>
  <c r="L82" i="2"/>
  <c r="T82" i="2"/>
  <c r="AB82" i="2"/>
  <c r="F166" i="2"/>
  <c r="N166" i="2"/>
  <c r="V166" i="2"/>
  <c r="C167" i="2"/>
  <c r="K167" i="2"/>
  <c r="S167" i="2"/>
  <c r="AA167" i="2"/>
  <c r="I10" i="8"/>
  <c r="D110" i="2"/>
  <c r="L110" i="2"/>
  <c r="T110" i="2"/>
  <c r="AB110" i="2"/>
  <c r="H138" i="2"/>
  <c r="P138" i="2"/>
  <c r="X138" i="2"/>
  <c r="E82" i="2"/>
  <c r="M82" i="2"/>
  <c r="U82" i="2"/>
  <c r="D82" i="2"/>
  <c r="G166" i="2"/>
  <c r="O166" i="2"/>
  <c r="W166" i="2"/>
  <c r="D167" i="2"/>
  <c r="L167" i="2"/>
  <c r="T167" i="2"/>
  <c r="AB167" i="2"/>
  <c r="B85" i="2"/>
  <c r="J10" i="8"/>
  <c r="D75" i="2"/>
  <c r="L75" i="2"/>
  <c r="E110" i="2"/>
  <c r="M110" i="2"/>
  <c r="U110" i="2"/>
  <c r="B110" i="2"/>
  <c r="I138" i="2"/>
  <c r="Q138" i="2"/>
  <c r="Y138" i="2"/>
  <c r="F82" i="2"/>
  <c r="N82" i="2"/>
  <c r="V82" i="2"/>
  <c r="H166" i="2"/>
  <c r="P166" i="2"/>
  <c r="X166" i="2"/>
  <c r="E167" i="2"/>
  <c r="M167" i="2"/>
  <c r="U167" i="2"/>
  <c r="F110" i="2"/>
  <c r="N110" i="2"/>
  <c r="V110" i="2"/>
  <c r="B138" i="2"/>
  <c r="J138" i="2"/>
  <c r="R138" i="2"/>
  <c r="Z138" i="2"/>
  <c r="G82" i="2"/>
  <c r="O82" i="2"/>
  <c r="W82" i="2"/>
  <c r="B54" i="2"/>
  <c r="I166" i="2"/>
  <c r="Q166" i="2"/>
  <c r="Y166" i="2"/>
  <c r="F167" i="2"/>
  <c r="N167" i="2"/>
  <c r="V167" i="2"/>
  <c r="C38" i="3"/>
  <c r="D24" i="2" s="1"/>
  <c r="C24" i="2" s="1"/>
  <c r="G110" i="2"/>
  <c r="O110" i="2"/>
  <c r="W110" i="2"/>
  <c r="C138" i="2"/>
  <c r="K138" i="2"/>
  <c r="S138" i="2"/>
  <c r="AA138" i="2"/>
  <c r="I79" i="2"/>
  <c r="Q79" i="2"/>
  <c r="Y79" i="2"/>
  <c r="H82" i="2"/>
  <c r="P82" i="2"/>
  <c r="X82" i="2"/>
  <c r="B166" i="2"/>
  <c r="J166" i="2"/>
  <c r="R166" i="2"/>
  <c r="Z166" i="2"/>
  <c r="G167" i="2"/>
  <c r="O167" i="2"/>
  <c r="W167" i="2"/>
  <c r="F84" i="2"/>
  <c r="H110" i="2"/>
  <c r="P110" i="2"/>
  <c r="X110" i="2"/>
  <c r="D138" i="2"/>
  <c r="L138" i="2"/>
  <c r="T138" i="2"/>
  <c r="AB138" i="2"/>
  <c r="I82" i="2"/>
  <c r="Q82" i="2"/>
  <c r="Y82" i="2"/>
  <c r="C166" i="2"/>
  <c r="K166" i="2"/>
  <c r="S166" i="2"/>
  <c r="AA166" i="2"/>
  <c r="H167" i="2"/>
  <c r="P167" i="2"/>
  <c r="X167" i="2"/>
  <c r="H159" i="2"/>
  <c r="P159" i="2"/>
  <c r="B55" i="2"/>
  <c r="I110" i="2"/>
  <c r="Q110" i="2"/>
  <c r="Y110" i="2"/>
  <c r="E138" i="2"/>
  <c r="M138" i="2"/>
  <c r="U138" i="2"/>
  <c r="J82" i="2"/>
  <c r="R82" i="2"/>
  <c r="Z82" i="2"/>
  <c r="D166" i="2"/>
  <c r="L166" i="2"/>
  <c r="T166" i="2"/>
  <c r="AB166" i="2"/>
  <c r="I167" i="2"/>
  <c r="Q167" i="2"/>
  <c r="Y167" i="2"/>
  <c r="C11" i="8"/>
  <c r="L10" i="8"/>
  <c r="B82" i="2"/>
  <c r="J110" i="2"/>
  <c r="R110" i="2"/>
  <c r="Z110" i="2"/>
  <c r="F138" i="2"/>
  <c r="N138" i="2"/>
  <c r="V138" i="2"/>
  <c r="K82" i="2"/>
  <c r="S82" i="2"/>
  <c r="AA82" i="2"/>
  <c r="E166" i="2"/>
  <c r="M166" i="2"/>
  <c r="U166" i="2"/>
  <c r="B167" i="2"/>
  <c r="J167" i="2"/>
  <c r="R167" i="2"/>
  <c r="B94" i="3"/>
  <c r="B104" i="3" s="1"/>
  <c r="E90" i="3"/>
  <c r="B24" i="3"/>
  <c r="D24" i="3" s="1"/>
  <c r="I24" i="3" s="1"/>
  <c r="C20" i="3"/>
  <c r="B22" i="3" s="1"/>
  <c r="B34" i="3" s="1"/>
  <c r="U85" i="2"/>
  <c r="B179" i="2"/>
  <c r="B175" i="2"/>
  <c r="B169" i="2"/>
  <c r="B177" i="2"/>
  <c r="B170" i="2"/>
  <c r="B178" i="2"/>
  <c r="V85" i="2"/>
  <c r="B172" i="2"/>
  <c r="T85" i="2"/>
  <c r="AB85" i="2"/>
  <c r="AB75" i="2"/>
  <c r="Y85" i="2"/>
  <c r="R85" i="2"/>
  <c r="Z85" i="2"/>
  <c r="X85" i="2"/>
  <c r="B168" i="2"/>
  <c r="B171" i="2"/>
  <c r="S85" i="2"/>
  <c r="AA85" i="2"/>
  <c r="B42" i="3"/>
  <c r="B41" i="3"/>
  <c r="D41" i="3" s="1"/>
  <c r="I41" i="3" s="1"/>
  <c r="C47" i="2"/>
  <c r="C81" i="2" s="1"/>
  <c r="I75" i="2"/>
  <c r="Q75" i="2"/>
  <c r="Y75" i="2"/>
  <c r="B62" i="2"/>
  <c r="B47" i="2"/>
  <c r="B53" i="2" s="1"/>
  <c r="J75" i="2"/>
  <c r="D19" i="2" s="1"/>
  <c r="R75" i="2"/>
  <c r="Z75" i="2"/>
  <c r="B91" i="2"/>
  <c r="J79" i="2"/>
  <c r="R79" i="2"/>
  <c r="Z79" i="2"/>
  <c r="G84" i="2"/>
  <c r="O84" i="2"/>
  <c r="W84" i="2"/>
  <c r="K86" i="2"/>
  <c r="S86" i="2"/>
  <c r="AA86" i="2"/>
  <c r="B94" i="2"/>
  <c r="B123" i="2"/>
  <c r="D84" i="2"/>
  <c r="B88" i="2"/>
  <c r="B159" i="2"/>
  <c r="B165" i="2" s="1"/>
  <c r="J159" i="2"/>
  <c r="J165" i="2" s="1"/>
  <c r="R159" i="2"/>
  <c r="R165" i="2" s="1"/>
  <c r="Z159" i="2"/>
  <c r="Z165" i="2" s="1"/>
  <c r="B56" i="2"/>
  <c r="B75" i="2"/>
  <c r="K75" i="2"/>
  <c r="S75" i="2"/>
  <c r="AA75" i="2"/>
  <c r="H84" i="2"/>
  <c r="P84" i="2"/>
  <c r="X84" i="2"/>
  <c r="C86" i="2"/>
  <c r="L86" i="2"/>
  <c r="T86" i="2"/>
  <c r="AB86" i="2"/>
  <c r="Y95" i="2"/>
  <c r="W87" i="2"/>
  <c r="C159" i="2"/>
  <c r="C165" i="2" s="1"/>
  <c r="K159" i="2"/>
  <c r="S159" i="2"/>
  <c r="AA159" i="2"/>
  <c r="AA165" i="2" s="1"/>
  <c r="I84" i="2"/>
  <c r="Q84" i="2"/>
  <c r="Y84" i="2"/>
  <c r="E86" i="2"/>
  <c r="M86" i="2"/>
  <c r="U86" i="2"/>
  <c r="B65" i="2"/>
  <c r="B67" i="2"/>
  <c r="R95" i="2"/>
  <c r="Z95" i="2"/>
  <c r="D86" i="2"/>
  <c r="X87" i="2"/>
  <c r="D159" i="2"/>
  <c r="L159" i="2"/>
  <c r="L165" i="2" s="1"/>
  <c r="T159" i="2"/>
  <c r="T165" i="2" s="1"/>
  <c r="AB159" i="2"/>
  <c r="AB165" i="2" s="1"/>
  <c r="B84" i="2"/>
  <c r="E75" i="2"/>
  <c r="M75" i="2"/>
  <c r="U75" i="2"/>
  <c r="C75" i="2"/>
  <c r="J84" i="2"/>
  <c r="R84" i="2"/>
  <c r="Z84" i="2"/>
  <c r="F86" i="2"/>
  <c r="N86" i="2"/>
  <c r="V86" i="2"/>
  <c r="B93" i="2"/>
  <c r="B95" i="2"/>
  <c r="S95" i="2"/>
  <c r="AA95" i="2"/>
  <c r="B59" i="2"/>
  <c r="Y87" i="2"/>
  <c r="B89" i="2"/>
  <c r="E159" i="2"/>
  <c r="M159" i="2"/>
  <c r="M165" i="2" s="1"/>
  <c r="U159" i="2"/>
  <c r="U165" i="2" s="1"/>
  <c r="B58" i="2"/>
  <c r="F75" i="2"/>
  <c r="N75" i="2"/>
  <c r="V75" i="2"/>
  <c r="K84" i="2"/>
  <c r="S84" i="2"/>
  <c r="AA84" i="2"/>
  <c r="G86" i="2"/>
  <c r="O86" i="2"/>
  <c r="W86" i="2"/>
  <c r="B64" i="2"/>
  <c r="B87" i="2"/>
  <c r="Z87" i="2"/>
  <c r="F159" i="2"/>
  <c r="F165" i="2" s="1"/>
  <c r="N159" i="2"/>
  <c r="N165" i="2" s="1"/>
  <c r="V159" i="2"/>
  <c r="V165" i="2" s="1"/>
  <c r="B86" i="2"/>
  <c r="G75" i="2"/>
  <c r="O75" i="2"/>
  <c r="W75" i="2"/>
  <c r="W89" i="2" s="1"/>
  <c r="W90" i="2" s="1"/>
  <c r="B113" i="2"/>
  <c r="G79" i="2"/>
  <c r="O79" i="2"/>
  <c r="W79" i="2"/>
  <c r="C84" i="2"/>
  <c r="L84" i="2"/>
  <c r="T84" i="2"/>
  <c r="AB84" i="2"/>
  <c r="H86" i="2"/>
  <c r="P86" i="2"/>
  <c r="X86" i="2"/>
  <c r="B92" i="2"/>
  <c r="B120" i="2"/>
  <c r="AA87" i="2"/>
  <c r="W88" i="2"/>
  <c r="B90" i="2"/>
  <c r="G159" i="2"/>
  <c r="G165" i="2" s="1"/>
  <c r="O159" i="2"/>
  <c r="W159" i="2"/>
  <c r="W165" i="2" s="1"/>
  <c r="H75" i="2"/>
  <c r="P75" i="2"/>
  <c r="X75" i="2"/>
  <c r="B61" i="2"/>
  <c r="H79" i="2"/>
  <c r="P79" i="2"/>
  <c r="X79" i="2"/>
  <c r="E84" i="2"/>
  <c r="M84" i="2"/>
  <c r="U84" i="2"/>
  <c r="I86" i="2"/>
  <c r="Q86" i="2"/>
  <c r="Y86" i="2"/>
  <c r="V95" i="2"/>
  <c r="B121" i="2"/>
  <c r="B157" i="2"/>
  <c r="B158" i="2" s="1"/>
  <c r="B164" i="2" s="1"/>
  <c r="X159" i="2"/>
  <c r="X165" i="2" s="1"/>
  <c r="V84" i="2"/>
  <c r="J86" i="2"/>
  <c r="R86" i="2"/>
  <c r="Z86" i="2"/>
  <c r="B66" i="2"/>
  <c r="B122" i="2"/>
  <c r="C79" i="2"/>
  <c r="K79" i="2"/>
  <c r="S79" i="2"/>
  <c r="AA79" i="2"/>
  <c r="D79" i="2"/>
  <c r="L79" i="2"/>
  <c r="T79" i="2"/>
  <c r="AB79" i="2"/>
  <c r="E79" i="2"/>
  <c r="M79" i="2"/>
  <c r="U79" i="2"/>
  <c r="F79" i="2"/>
  <c r="N79" i="2"/>
  <c r="V79" i="2"/>
  <c r="C50" i="3"/>
  <c r="C26" i="3"/>
  <c r="I16" i="3"/>
  <c r="I179" i="2"/>
  <c r="N170" i="2"/>
  <c r="F170" i="2"/>
  <c r="P170" i="2"/>
  <c r="D16" i="2"/>
  <c r="M10" i="8" s="1"/>
  <c r="H179" i="2"/>
  <c r="Q179" i="2"/>
  <c r="Y157" i="2"/>
  <c r="Y158" i="2" s="1"/>
  <c r="D170" i="2"/>
  <c r="L170" i="2"/>
  <c r="D163" i="2"/>
  <c r="L163" i="2"/>
  <c r="T163" i="2"/>
  <c r="J163" i="2"/>
  <c r="T157" i="2"/>
  <c r="T158" i="2" s="1"/>
  <c r="T164" i="2" s="1"/>
  <c r="R163" i="2"/>
  <c r="Z163" i="2"/>
  <c r="O170" i="2"/>
  <c r="U157" i="2"/>
  <c r="U158" i="2" s="1"/>
  <c r="U164" i="2" s="1"/>
  <c r="U170" i="2"/>
  <c r="U179" i="2"/>
  <c r="E165" i="2"/>
  <c r="V157" i="2"/>
  <c r="V158" i="2" s="1"/>
  <c r="V164" i="2" s="1"/>
  <c r="AB163" i="2"/>
  <c r="W170" i="2"/>
  <c r="V179" i="2"/>
  <c r="O165" i="2"/>
  <c r="AB157" i="2"/>
  <c r="AB158" i="2" s="1"/>
  <c r="AB164" i="2" s="1"/>
  <c r="V168" i="2"/>
  <c r="E179" i="2"/>
  <c r="W179" i="2"/>
  <c r="W168" i="2"/>
  <c r="F179" i="2"/>
  <c r="E170" i="2"/>
  <c r="G179" i="2"/>
  <c r="H163" i="2"/>
  <c r="P163" i="2"/>
  <c r="X163" i="2"/>
  <c r="G170" i="2"/>
  <c r="M179" i="2"/>
  <c r="M170" i="2"/>
  <c r="N179" i="2"/>
  <c r="R157" i="2"/>
  <c r="R158" i="2" s="1"/>
  <c r="R164" i="2" s="1"/>
  <c r="Z157" i="2"/>
  <c r="Z158" i="2" s="1"/>
  <c r="Z164" i="2" s="1"/>
  <c r="T168" i="2"/>
  <c r="AB168" i="2"/>
  <c r="B173" i="2"/>
  <c r="K179" i="2"/>
  <c r="S179" i="2"/>
  <c r="AA179" i="2"/>
  <c r="S157" i="2"/>
  <c r="S158" i="2" s="1"/>
  <c r="S164" i="2" s="1"/>
  <c r="AA157" i="2"/>
  <c r="AA158" i="2" s="1"/>
  <c r="AA164" i="2" s="1"/>
  <c r="I163" i="2"/>
  <c r="Q163" i="2"/>
  <c r="Y163" i="2"/>
  <c r="U168" i="2"/>
  <c r="V170" i="2"/>
  <c r="D179" i="2"/>
  <c r="L179" i="2"/>
  <c r="T179" i="2"/>
  <c r="AB179" i="2"/>
  <c r="H165" i="2"/>
  <c r="P165" i="2"/>
  <c r="S163" i="2"/>
  <c r="Q165" i="2"/>
  <c r="C179" i="2"/>
  <c r="K163" i="2"/>
  <c r="H170" i="2"/>
  <c r="X170" i="2"/>
  <c r="I165" i="2"/>
  <c r="I170" i="2"/>
  <c r="Y170" i="2"/>
  <c r="B174" i="2"/>
  <c r="C131" i="2"/>
  <c r="W157" i="2"/>
  <c r="W158" i="2" s="1"/>
  <c r="W164" i="2" s="1"/>
  <c r="S165" i="2"/>
  <c r="E163" i="2"/>
  <c r="M163" i="2"/>
  <c r="U163" i="2"/>
  <c r="Y168" i="2"/>
  <c r="J170" i="2"/>
  <c r="R170" i="2"/>
  <c r="Z170" i="2"/>
  <c r="P179" i="2"/>
  <c r="X179" i="2"/>
  <c r="K165" i="2"/>
  <c r="Y165" i="2"/>
  <c r="C163" i="2"/>
  <c r="AA163" i="2"/>
  <c r="C103" i="2"/>
  <c r="X168" i="2"/>
  <c r="Q170" i="2"/>
  <c r="B176" i="2"/>
  <c r="X157" i="2"/>
  <c r="X158" i="2" s="1"/>
  <c r="X164" i="2" s="1"/>
  <c r="F163" i="2"/>
  <c r="N163" i="2"/>
  <c r="V163" i="2"/>
  <c r="R168" i="2"/>
  <c r="Z168" i="2"/>
  <c r="S170" i="2"/>
  <c r="AA170" i="2"/>
  <c r="Y179" i="2"/>
  <c r="D165" i="2"/>
  <c r="G163" i="2"/>
  <c r="O163" i="2"/>
  <c r="W163" i="2"/>
  <c r="T170" i="2"/>
  <c r="AB170" i="2"/>
  <c r="J47" i="2"/>
  <c r="C19" i="2" s="1"/>
  <c r="C96" i="3"/>
  <c r="C98" i="3" s="1"/>
  <c r="C102" i="3" s="1"/>
  <c r="E64" i="3"/>
  <c r="E68" i="3" s="1"/>
  <c r="E28" i="3"/>
  <c r="E32" i="3" s="1"/>
  <c r="E81" i="3"/>
  <c r="E85" i="3" s="1"/>
  <c r="J8" i="3"/>
  <c r="L168" i="2"/>
  <c r="K168" i="2"/>
  <c r="J168" i="2"/>
  <c r="H168" i="2"/>
  <c r="F168" i="2"/>
  <c r="E168" i="2"/>
  <c r="D168" i="2"/>
  <c r="C168" i="2"/>
  <c r="P157" i="2"/>
  <c r="P158" i="2" s="1"/>
  <c r="P164" i="2" s="1"/>
  <c r="O157" i="2"/>
  <c r="M157" i="2"/>
  <c r="M158" i="2" s="1"/>
  <c r="M164" i="2" s="1"/>
  <c r="L157" i="2"/>
  <c r="L158" i="2" s="1"/>
  <c r="L164" i="2" s="1"/>
  <c r="K157" i="2"/>
  <c r="K158" i="2" s="1"/>
  <c r="K164" i="2" s="1"/>
  <c r="I157" i="2"/>
  <c r="I158" i="2" s="1"/>
  <c r="I164" i="2" s="1"/>
  <c r="G157" i="2"/>
  <c r="G158" i="2" s="1"/>
  <c r="G164" i="2" s="1"/>
  <c r="F157" i="2"/>
  <c r="F158" i="2" s="1"/>
  <c r="F164" i="2" s="1"/>
  <c r="D157" i="2"/>
  <c r="D158" i="2" s="1"/>
  <c r="D164" i="2" s="1"/>
  <c r="G168" i="2"/>
  <c r="O168" i="2"/>
  <c r="Q168" i="2"/>
  <c r="N157" i="2"/>
  <c r="N158" i="2" s="1"/>
  <c r="N164" i="2" s="1"/>
  <c r="J157" i="2"/>
  <c r="J158" i="2" s="1"/>
  <c r="J164" i="2" s="1"/>
  <c r="H157" i="2"/>
  <c r="H158" i="2" s="1"/>
  <c r="H164" i="2" s="1"/>
  <c r="E157" i="2"/>
  <c r="E158" i="2" s="1"/>
  <c r="E164" i="2" s="1"/>
  <c r="C157" i="2"/>
  <c r="C158" i="2" s="1"/>
  <c r="C164" i="2" s="1"/>
  <c r="Q157" i="2"/>
  <c r="Q158" i="2" s="1"/>
  <c r="Q164" i="2" s="1"/>
  <c r="I168" i="2"/>
  <c r="M168" i="2"/>
  <c r="P168" i="2"/>
  <c r="N168" i="2"/>
  <c r="AD161" i="2"/>
  <c r="AD162" i="2"/>
  <c r="C73" i="3"/>
  <c r="E73" i="3" s="1"/>
  <c r="C55" i="3"/>
  <c r="C56" i="3" s="1"/>
  <c r="B58" i="3" s="1"/>
  <c r="AD133" i="2"/>
  <c r="R51" i="2"/>
  <c r="Q51" i="2"/>
  <c r="AD49" i="2"/>
  <c r="N51" i="2"/>
  <c r="U107" i="2"/>
  <c r="P51" i="2"/>
  <c r="O51" i="2"/>
  <c r="C107" i="2"/>
  <c r="S51" i="2"/>
  <c r="AB135" i="2"/>
  <c r="R135" i="2"/>
  <c r="O135" i="2"/>
  <c r="G135" i="2"/>
  <c r="Y107" i="2"/>
  <c r="O107" i="2"/>
  <c r="AA135" i="2"/>
  <c r="Q135" i="2"/>
  <c r="J135" i="2"/>
  <c r="C135" i="2"/>
  <c r="V107" i="2"/>
  <c r="M107" i="2"/>
  <c r="F51" i="2"/>
  <c r="Z135" i="2"/>
  <c r="U135" i="2"/>
  <c r="K135" i="2"/>
  <c r="T107" i="2"/>
  <c r="K107" i="2"/>
  <c r="U51" i="2"/>
  <c r="D51" i="2"/>
  <c r="Y135" i="2"/>
  <c r="T135" i="2"/>
  <c r="P135" i="2"/>
  <c r="H135" i="2"/>
  <c r="R107" i="2"/>
  <c r="I107" i="2"/>
  <c r="T51" i="2"/>
  <c r="C51" i="2"/>
  <c r="X135" i="2"/>
  <c r="S135" i="2"/>
  <c r="N135" i="2"/>
  <c r="D135" i="2"/>
  <c r="AA107" i="2"/>
  <c r="S107" i="2"/>
  <c r="J107" i="2"/>
  <c r="V135" i="2"/>
  <c r="F135" i="2"/>
  <c r="AB107" i="2"/>
  <c r="P107" i="2"/>
  <c r="H107" i="2"/>
  <c r="W135" i="2"/>
  <c r="E135" i="2"/>
  <c r="Z107" i="2"/>
  <c r="Q107" i="2"/>
  <c r="G107" i="2"/>
  <c r="E51" i="2"/>
  <c r="M135" i="2"/>
  <c r="L135" i="2"/>
  <c r="I135" i="2"/>
  <c r="W107" i="2"/>
  <c r="N107" i="2"/>
  <c r="F107" i="2"/>
  <c r="W51" i="2"/>
  <c r="G51" i="2"/>
  <c r="X107" i="2"/>
  <c r="L107" i="2"/>
  <c r="V51" i="2"/>
  <c r="E107" i="2"/>
  <c r="D107" i="2"/>
  <c r="AD105" i="2"/>
  <c r="AB51" i="2"/>
  <c r="AA51" i="2"/>
  <c r="Z51" i="2"/>
  <c r="Y51" i="2"/>
  <c r="X51" i="2"/>
  <c r="M51" i="2"/>
  <c r="L51" i="2"/>
  <c r="K51" i="2"/>
  <c r="J51" i="2"/>
  <c r="I51" i="2"/>
  <c r="H51" i="2"/>
  <c r="AD38" i="2"/>
  <c r="L5" i="2" s="1"/>
  <c r="H24" i="8" s="1"/>
  <c r="B16" i="7"/>
  <c r="D14" i="7"/>
  <c r="G14" i="7" s="1"/>
  <c r="C16" i="7"/>
  <c r="D9" i="7"/>
  <c r="G9" i="7" s="1"/>
  <c r="D16" i="7"/>
  <c r="G5" i="7"/>
  <c r="G16" i="7" s="1"/>
  <c r="C78" i="5"/>
  <c r="D76" i="5"/>
  <c r="E6" i="4"/>
  <c r="D6" i="4"/>
  <c r="C6" i="4"/>
  <c r="B6" i="4"/>
  <c r="D77" i="3"/>
  <c r="C79" i="3"/>
  <c r="C81" i="3" s="1"/>
  <c r="C85" i="3" s="1"/>
  <c r="C62" i="3"/>
  <c r="C64" i="3" s="1"/>
  <c r="G59" i="3"/>
  <c r="J59" i="3" s="1"/>
  <c r="I59" i="3"/>
  <c r="G23" i="3"/>
  <c r="J23" i="3" s="1"/>
  <c r="I23" i="3"/>
  <c r="J5" i="3"/>
  <c r="J16" i="3" s="1"/>
  <c r="G16" i="3"/>
  <c r="B135" i="2"/>
  <c r="AD134" i="2"/>
  <c r="B107" i="2"/>
  <c r="AD106" i="2"/>
  <c r="AD50" i="2"/>
  <c r="AB35" i="2"/>
  <c r="AB37" i="2" s="1"/>
  <c r="AB39" i="2"/>
  <c r="AB40" i="2"/>
  <c r="AB41" i="2"/>
  <c r="AB45" i="2"/>
  <c r="AB57" i="2"/>
  <c r="AB58" i="2"/>
  <c r="AB56" i="2"/>
  <c r="AB47" i="2"/>
  <c r="AB53" i="2" s="1"/>
  <c r="AB101" i="2"/>
  <c r="AB102" i="2" s="1"/>
  <c r="AB108" i="2" s="1"/>
  <c r="AB112" i="2"/>
  <c r="AB113" i="2"/>
  <c r="AB114" i="2"/>
  <c r="AB123" i="2"/>
  <c r="AB129" i="2"/>
  <c r="AB130" i="2" s="1"/>
  <c r="AB136" i="2" s="1"/>
  <c r="AB140" i="2"/>
  <c r="AB141" i="2"/>
  <c r="AB142" i="2"/>
  <c r="AB103" i="2"/>
  <c r="AB109" i="2" s="1"/>
  <c r="AB131" i="2"/>
  <c r="AB137" i="2" s="1"/>
  <c r="AB151" i="2"/>
  <c r="AA35" i="2"/>
  <c r="AA37" i="2" s="1"/>
  <c r="AA39" i="2"/>
  <c r="AA40" i="2"/>
  <c r="AA41" i="2"/>
  <c r="AA45" i="2"/>
  <c r="AA47" i="2"/>
  <c r="AA53" i="2" s="1"/>
  <c r="AA57" i="2"/>
  <c r="AA58" i="2"/>
  <c r="AA59" i="2"/>
  <c r="AA56" i="2"/>
  <c r="AA101" i="2"/>
  <c r="AA102" i="2" s="1"/>
  <c r="AA108" i="2" s="1"/>
  <c r="AA112" i="2"/>
  <c r="AA113" i="2"/>
  <c r="AA114" i="2"/>
  <c r="AA123" i="2"/>
  <c r="AA129" i="2"/>
  <c r="AA130" i="2" s="1"/>
  <c r="AA136" i="2" s="1"/>
  <c r="AA131" i="2"/>
  <c r="AA103" i="2"/>
  <c r="AA109" i="2" s="1"/>
  <c r="AA140" i="2"/>
  <c r="AA141" i="2"/>
  <c r="AA142" i="2"/>
  <c r="AA151" i="2"/>
  <c r="Z35" i="2"/>
  <c r="Z37" i="2" s="1"/>
  <c r="Z39" i="2"/>
  <c r="Z40" i="2"/>
  <c r="Z41" i="2"/>
  <c r="Z45" i="2"/>
  <c r="Z57" i="2"/>
  <c r="Z58" i="2"/>
  <c r="Z59" i="2"/>
  <c r="Z56" i="2"/>
  <c r="Z67" i="2"/>
  <c r="Z101" i="2"/>
  <c r="Z102" i="2" s="1"/>
  <c r="Z108" i="2" s="1"/>
  <c r="Z112" i="2"/>
  <c r="Z113" i="2"/>
  <c r="Z114" i="2"/>
  <c r="Z123" i="2"/>
  <c r="Z129" i="2"/>
  <c r="Z130" i="2" s="1"/>
  <c r="Z136" i="2" s="1"/>
  <c r="Z131" i="2"/>
  <c r="Z137" i="2" s="1"/>
  <c r="Z140" i="2"/>
  <c r="Z141" i="2"/>
  <c r="Z142" i="2"/>
  <c r="Z151" i="2"/>
  <c r="Z47" i="2"/>
  <c r="Z53" i="2" s="1"/>
  <c r="Z103" i="2"/>
  <c r="Z109" i="2" s="1"/>
  <c r="Y35" i="2"/>
  <c r="Y37" i="2" s="1"/>
  <c r="Y39" i="2"/>
  <c r="Y40" i="2"/>
  <c r="Y41" i="2"/>
  <c r="Y45" i="2"/>
  <c r="Y57" i="2"/>
  <c r="Y58" i="2"/>
  <c r="Y56" i="2"/>
  <c r="Y101" i="2"/>
  <c r="Y102" i="2" s="1"/>
  <c r="Y108" i="2" s="1"/>
  <c r="Y103" i="2"/>
  <c r="Y112" i="2"/>
  <c r="Y113" i="2"/>
  <c r="Y114" i="2"/>
  <c r="Y123" i="2"/>
  <c r="Y129" i="2"/>
  <c r="Y130" i="2" s="1"/>
  <c r="Y136" i="2" s="1"/>
  <c r="Y131" i="2"/>
  <c r="Y137" i="2" s="1"/>
  <c r="Y47" i="2"/>
  <c r="Y53" i="2" s="1"/>
  <c r="Y140" i="2"/>
  <c r="Y141" i="2"/>
  <c r="Y142" i="2"/>
  <c r="Y151" i="2"/>
  <c r="X35" i="2"/>
  <c r="X37" i="2" s="1"/>
  <c r="X39" i="2"/>
  <c r="X40" i="2"/>
  <c r="X41" i="2"/>
  <c r="X45" i="2"/>
  <c r="X57" i="2"/>
  <c r="X58" i="2"/>
  <c r="X56" i="2"/>
  <c r="X101" i="2"/>
  <c r="X102" i="2" s="1"/>
  <c r="X108" i="2" s="1"/>
  <c r="X112" i="2"/>
  <c r="X113" i="2"/>
  <c r="X114" i="2"/>
  <c r="X103" i="2"/>
  <c r="X109" i="2" s="1"/>
  <c r="X123" i="2"/>
  <c r="X129" i="2"/>
  <c r="X130" i="2" s="1"/>
  <c r="X136" i="2" s="1"/>
  <c r="X131" i="2"/>
  <c r="X137" i="2" s="1"/>
  <c r="X140" i="2"/>
  <c r="X141" i="2"/>
  <c r="X142" i="2"/>
  <c r="X151" i="2"/>
  <c r="X47" i="2"/>
  <c r="X53" i="2" s="1"/>
  <c r="W35" i="2"/>
  <c r="W37" i="2" s="1"/>
  <c r="W39" i="2"/>
  <c r="W40" i="2"/>
  <c r="W41" i="2"/>
  <c r="W45" i="2"/>
  <c r="W57" i="2"/>
  <c r="W58" i="2"/>
  <c r="W59" i="2"/>
  <c r="W60" i="2"/>
  <c r="W56" i="2"/>
  <c r="W67" i="2"/>
  <c r="W101" i="2"/>
  <c r="W102" i="2" s="1"/>
  <c r="W108" i="2" s="1"/>
  <c r="W112" i="2"/>
  <c r="W113" i="2"/>
  <c r="W114" i="2"/>
  <c r="W123" i="2"/>
  <c r="W129" i="2"/>
  <c r="W130" i="2" s="1"/>
  <c r="W136" i="2" s="1"/>
  <c r="W131" i="2"/>
  <c r="W137" i="2" s="1"/>
  <c r="W47" i="2"/>
  <c r="W140" i="2"/>
  <c r="W141" i="2"/>
  <c r="W142" i="2"/>
  <c r="W151" i="2"/>
  <c r="W103" i="2"/>
  <c r="W109" i="2" s="1"/>
  <c r="V35" i="2"/>
  <c r="V37" i="2" s="1"/>
  <c r="V39" i="2"/>
  <c r="V40" i="2"/>
  <c r="V41" i="2"/>
  <c r="V45" i="2"/>
  <c r="V57" i="2"/>
  <c r="V58" i="2"/>
  <c r="V59" i="2"/>
  <c r="V60" i="2"/>
  <c r="V56" i="2"/>
  <c r="V61" i="2"/>
  <c r="V67" i="2"/>
  <c r="V101" i="2"/>
  <c r="V102" i="2" s="1"/>
  <c r="V108" i="2" s="1"/>
  <c r="V112" i="2"/>
  <c r="V113" i="2"/>
  <c r="V114" i="2"/>
  <c r="V47" i="2"/>
  <c r="V53" i="2" s="1"/>
  <c r="V123" i="2"/>
  <c r="V129" i="2"/>
  <c r="V130" i="2" s="1"/>
  <c r="V136" i="2" s="1"/>
  <c r="V131" i="2"/>
  <c r="V103" i="2"/>
  <c r="V109" i="2" s="1"/>
  <c r="V140" i="2"/>
  <c r="V141" i="2"/>
  <c r="V142" i="2"/>
  <c r="V151" i="2"/>
  <c r="U35" i="2"/>
  <c r="U37" i="2" s="1"/>
  <c r="U39" i="2"/>
  <c r="U40" i="2"/>
  <c r="U41" i="2"/>
  <c r="U45" i="2"/>
  <c r="U58" i="2"/>
  <c r="U56" i="2"/>
  <c r="U57" i="2"/>
  <c r="U101" i="2"/>
  <c r="U102" i="2" s="1"/>
  <c r="U108" i="2" s="1"/>
  <c r="U112" i="2"/>
  <c r="U113" i="2"/>
  <c r="U114" i="2"/>
  <c r="U123" i="2"/>
  <c r="U129" i="2"/>
  <c r="U130" i="2" s="1"/>
  <c r="U136" i="2" s="1"/>
  <c r="U131" i="2"/>
  <c r="U137" i="2" s="1"/>
  <c r="U140" i="2"/>
  <c r="U141" i="2"/>
  <c r="U142" i="2"/>
  <c r="U103" i="2"/>
  <c r="U109" i="2" s="1"/>
  <c r="U151" i="2"/>
  <c r="U47" i="2"/>
  <c r="U53" i="2" s="1"/>
  <c r="T35" i="2"/>
  <c r="T37" i="2" s="1"/>
  <c r="T39" i="2"/>
  <c r="T40" i="2"/>
  <c r="T41" i="2"/>
  <c r="T45" i="2"/>
  <c r="T58" i="2"/>
  <c r="T59" i="2"/>
  <c r="T56" i="2"/>
  <c r="T57" i="2"/>
  <c r="T101" i="2"/>
  <c r="T102" i="2" s="1"/>
  <c r="T108" i="2" s="1"/>
  <c r="T103" i="2"/>
  <c r="T109" i="2" s="1"/>
  <c r="T112" i="2"/>
  <c r="T113" i="2"/>
  <c r="T114" i="2"/>
  <c r="T123" i="2"/>
  <c r="T129" i="2"/>
  <c r="T130" i="2" s="1"/>
  <c r="T136" i="2" s="1"/>
  <c r="T131" i="2"/>
  <c r="T137" i="2" s="1"/>
  <c r="T140" i="2"/>
  <c r="T141" i="2"/>
  <c r="T142" i="2"/>
  <c r="T47" i="2"/>
  <c r="T151" i="2"/>
  <c r="S35" i="2"/>
  <c r="S37" i="2" s="1"/>
  <c r="S39" i="2"/>
  <c r="S40" i="2"/>
  <c r="S41" i="2"/>
  <c r="S45" i="2"/>
  <c r="S47" i="2"/>
  <c r="S58" i="2"/>
  <c r="S59" i="2"/>
  <c r="S60" i="2"/>
  <c r="S56" i="2"/>
  <c r="S57" i="2"/>
  <c r="S101" i="2"/>
  <c r="S102" i="2" s="1"/>
  <c r="S108" i="2" s="1"/>
  <c r="S112" i="2"/>
  <c r="S113" i="2"/>
  <c r="S114" i="2"/>
  <c r="S103" i="2"/>
  <c r="S123" i="2"/>
  <c r="S129" i="2"/>
  <c r="S130" i="2" s="1"/>
  <c r="S136" i="2" s="1"/>
  <c r="S131" i="2"/>
  <c r="S137" i="2" s="1"/>
  <c r="S140" i="2"/>
  <c r="S141" i="2"/>
  <c r="S142" i="2"/>
  <c r="S151" i="2"/>
  <c r="R35" i="2"/>
  <c r="R37" i="2" s="1"/>
  <c r="R39" i="2"/>
  <c r="R40" i="2"/>
  <c r="R41" i="2"/>
  <c r="R45" i="2"/>
  <c r="R58" i="2"/>
  <c r="R56" i="2"/>
  <c r="R57" i="2"/>
  <c r="R67" i="2"/>
  <c r="R101" i="2"/>
  <c r="R102" i="2" s="1"/>
  <c r="R108" i="2" s="1"/>
  <c r="R112" i="2"/>
  <c r="R113" i="2"/>
  <c r="R114" i="2"/>
  <c r="R47" i="2"/>
  <c r="R53" i="2" s="1"/>
  <c r="R123" i="2"/>
  <c r="R129" i="2"/>
  <c r="R130" i="2" s="1"/>
  <c r="R136" i="2" s="1"/>
  <c r="R131" i="2"/>
  <c r="R137" i="2" s="1"/>
  <c r="R103" i="2"/>
  <c r="R109" i="2" s="1"/>
  <c r="R140" i="2"/>
  <c r="R141" i="2"/>
  <c r="R142" i="2"/>
  <c r="R151" i="2"/>
  <c r="Q35" i="2"/>
  <c r="Q37" i="2" s="1"/>
  <c r="Q40" i="2"/>
  <c r="Q58" i="2"/>
  <c r="Q56" i="2"/>
  <c r="Q112" i="2"/>
  <c r="Q114" i="2"/>
  <c r="Q123" i="2"/>
  <c r="Q140" i="2"/>
  <c r="Q142" i="2"/>
  <c r="Q151" i="2"/>
  <c r="P35" i="2"/>
  <c r="P37" i="2" s="1"/>
  <c r="P40" i="2"/>
  <c r="P58" i="2"/>
  <c r="P56" i="2"/>
  <c r="P112" i="2"/>
  <c r="P114" i="2"/>
  <c r="P123" i="2"/>
  <c r="P140" i="2"/>
  <c r="P142" i="2"/>
  <c r="P151" i="2"/>
  <c r="O35" i="2"/>
  <c r="O37" i="2" s="1"/>
  <c r="O40" i="2"/>
  <c r="O58" i="2"/>
  <c r="O56" i="2"/>
  <c r="O112" i="2"/>
  <c r="O114" i="2"/>
  <c r="O123" i="2"/>
  <c r="O140" i="2"/>
  <c r="O142" i="2"/>
  <c r="O151" i="2"/>
  <c r="N35" i="2"/>
  <c r="N37" i="2" s="1"/>
  <c r="N40" i="2"/>
  <c r="N58" i="2"/>
  <c r="N56" i="2"/>
  <c r="N112" i="2"/>
  <c r="N114" i="2"/>
  <c r="N123" i="2"/>
  <c r="N140" i="2"/>
  <c r="N142" i="2"/>
  <c r="N151" i="2"/>
  <c r="M35" i="2"/>
  <c r="M37" i="2" s="1"/>
  <c r="M40" i="2"/>
  <c r="M58" i="2"/>
  <c r="M56" i="2"/>
  <c r="M112" i="2"/>
  <c r="M114" i="2"/>
  <c r="M123" i="2"/>
  <c r="M140" i="2"/>
  <c r="M142" i="2"/>
  <c r="M151" i="2"/>
  <c r="L35" i="2"/>
  <c r="L37" i="2" s="1"/>
  <c r="L40" i="2"/>
  <c r="L58" i="2"/>
  <c r="L56" i="2"/>
  <c r="L101" i="2"/>
  <c r="L102" i="2" s="1"/>
  <c r="L108" i="2" s="1"/>
  <c r="L103" i="2"/>
  <c r="L109" i="2" s="1"/>
  <c r="L112" i="2"/>
  <c r="L114" i="2"/>
  <c r="L123" i="2"/>
  <c r="L140" i="2"/>
  <c r="L142" i="2"/>
  <c r="L151" i="2"/>
  <c r="K35" i="2"/>
  <c r="K37" i="2" s="1"/>
  <c r="K40" i="2"/>
  <c r="K58" i="2"/>
  <c r="K56" i="2"/>
  <c r="K112" i="2"/>
  <c r="K114" i="2"/>
  <c r="K123" i="2"/>
  <c r="K140" i="2"/>
  <c r="K142" i="2"/>
  <c r="K151" i="2"/>
  <c r="J35" i="2"/>
  <c r="J37" i="2" s="1"/>
  <c r="J40" i="2"/>
  <c r="J58" i="2"/>
  <c r="J56" i="2"/>
  <c r="J112" i="2"/>
  <c r="J114" i="2"/>
  <c r="J123" i="2"/>
  <c r="J140" i="2"/>
  <c r="J142" i="2"/>
  <c r="J151" i="2"/>
  <c r="I35" i="2"/>
  <c r="I37" i="2" s="1"/>
  <c r="I40" i="2"/>
  <c r="I58" i="2"/>
  <c r="I56" i="2"/>
  <c r="I112" i="2"/>
  <c r="I114" i="2"/>
  <c r="I123" i="2"/>
  <c r="I140" i="2"/>
  <c r="I142" i="2"/>
  <c r="I151" i="2"/>
  <c r="H35" i="2"/>
  <c r="H37" i="2" s="1"/>
  <c r="H40" i="2"/>
  <c r="H58" i="2"/>
  <c r="H56" i="2"/>
  <c r="H112" i="2"/>
  <c r="H114" i="2"/>
  <c r="H123" i="2"/>
  <c r="H140" i="2"/>
  <c r="H142" i="2"/>
  <c r="H151" i="2"/>
  <c r="G35" i="2"/>
  <c r="G37" i="2" s="1"/>
  <c r="G40" i="2"/>
  <c r="G58" i="2"/>
  <c r="G56" i="2"/>
  <c r="G112" i="2"/>
  <c r="G114" i="2"/>
  <c r="G123" i="2"/>
  <c r="G140" i="2"/>
  <c r="G142" i="2"/>
  <c r="G151" i="2"/>
  <c r="F35" i="2"/>
  <c r="F37" i="2" s="1"/>
  <c r="F40" i="2"/>
  <c r="F58" i="2"/>
  <c r="F56" i="2"/>
  <c r="F112" i="2"/>
  <c r="F114" i="2"/>
  <c r="F123" i="2"/>
  <c r="F140" i="2"/>
  <c r="F142" i="2"/>
  <c r="F151" i="2"/>
  <c r="E35" i="2"/>
  <c r="E37" i="2" s="1"/>
  <c r="E40" i="2"/>
  <c r="E58" i="2"/>
  <c r="E56" i="2"/>
  <c r="E112" i="2"/>
  <c r="E114" i="2"/>
  <c r="E123" i="2"/>
  <c r="E140" i="2"/>
  <c r="E142" i="2"/>
  <c r="E151" i="2"/>
  <c r="D35" i="2"/>
  <c r="D37" i="2" s="1"/>
  <c r="D40" i="2"/>
  <c r="D58" i="2"/>
  <c r="D56" i="2"/>
  <c r="D112" i="2"/>
  <c r="D114" i="2"/>
  <c r="D123" i="2"/>
  <c r="D140" i="2"/>
  <c r="D142" i="2"/>
  <c r="D151" i="2"/>
  <c r="C35" i="2"/>
  <c r="C37" i="2" s="1"/>
  <c r="C40" i="2"/>
  <c r="C58" i="2"/>
  <c r="C56" i="2"/>
  <c r="C112" i="2"/>
  <c r="C114" i="2"/>
  <c r="C123" i="2"/>
  <c r="C140" i="2"/>
  <c r="C142" i="2"/>
  <c r="C151" i="2"/>
  <c r="B35" i="2"/>
  <c r="B39" i="2"/>
  <c r="B40" i="2"/>
  <c r="B41" i="2"/>
  <c r="B45" i="2"/>
  <c r="B57" i="2"/>
  <c r="B63" i="2"/>
  <c r="B101" i="2"/>
  <c r="B103" i="2"/>
  <c r="B112" i="2"/>
  <c r="B114" i="2"/>
  <c r="B115" i="2"/>
  <c r="B116" i="2"/>
  <c r="B117" i="2"/>
  <c r="B118" i="2"/>
  <c r="B119" i="2"/>
  <c r="B129" i="2"/>
  <c r="B131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T111" i="2"/>
  <c r="E111" i="2"/>
  <c r="D111" i="2"/>
  <c r="C111" i="2"/>
  <c r="B111" i="2"/>
  <c r="G111" i="2"/>
  <c r="H111" i="2"/>
  <c r="I111" i="2"/>
  <c r="J111" i="2"/>
  <c r="K111" i="2"/>
  <c r="L111" i="2"/>
  <c r="M111" i="2"/>
  <c r="N111" i="2"/>
  <c r="O111" i="2"/>
  <c r="P111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AB54" i="2"/>
  <c r="AA54" i="2"/>
  <c r="Z54" i="2"/>
  <c r="Y54" i="2"/>
  <c r="X54" i="2"/>
  <c r="W54" i="2"/>
  <c r="V54" i="2"/>
  <c r="U54" i="2"/>
  <c r="S54" i="2"/>
  <c r="R54" i="2"/>
  <c r="Q54" i="2"/>
  <c r="P54" i="2"/>
  <c r="F111" i="2"/>
  <c r="Q111" i="2"/>
  <c r="R111" i="2"/>
  <c r="V111" i="2"/>
  <c r="W111" i="2"/>
  <c r="X111" i="2"/>
  <c r="Y111" i="2"/>
  <c r="Z111" i="2"/>
  <c r="AA111" i="2"/>
  <c r="AB111" i="2"/>
  <c r="T54" i="2"/>
  <c r="O54" i="2"/>
  <c r="M54" i="2"/>
  <c r="L54" i="2"/>
  <c r="K54" i="2"/>
  <c r="J54" i="2"/>
  <c r="I54" i="2"/>
  <c r="H54" i="2"/>
  <c r="G54" i="2"/>
  <c r="F54" i="2"/>
  <c r="E54" i="2"/>
  <c r="D54" i="2"/>
  <c r="C54" i="2"/>
  <c r="B139" i="2"/>
  <c r="C139" i="2"/>
  <c r="D139" i="2"/>
  <c r="E139" i="2"/>
  <c r="F139" i="2"/>
  <c r="G139" i="2"/>
  <c r="H139" i="2"/>
  <c r="I139" i="2"/>
  <c r="J139" i="2"/>
  <c r="K139" i="2"/>
  <c r="L139" i="2"/>
  <c r="M139" i="2"/>
  <c r="N139" i="2"/>
  <c r="O139" i="2"/>
  <c r="P139" i="2"/>
  <c r="Q139" i="2"/>
  <c r="R139" i="2"/>
  <c r="S139" i="2"/>
  <c r="T139" i="2"/>
  <c r="U139" i="2"/>
  <c r="V139" i="2"/>
  <c r="W139" i="2"/>
  <c r="X139" i="2"/>
  <c r="Y139" i="2"/>
  <c r="Z139" i="2"/>
  <c r="AA139" i="2"/>
  <c r="AB139" i="2"/>
  <c r="S111" i="2"/>
  <c r="U111" i="2"/>
  <c r="N54" i="2"/>
  <c r="D87" i="2" l="1"/>
  <c r="M13" i="8"/>
  <c r="X67" i="2"/>
  <c r="L13" i="8"/>
  <c r="B70" i="3"/>
  <c r="P25" i="2"/>
  <c r="C28" i="3"/>
  <c r="C32" i="3" s="1"/>
  <c r="B25" i="3" a="1"/>
  <c r="B25" i="3" s="1"/>
  <c r="S109" i="2"/>
  <c r="W53" i="2"/>
  <c r="W61" i="2"/>
  <c r="W73" i="2" s="1"/>
  <c r="Y109" i="2"/>
  <c r="AA137" i="2"/>
  <c r="X89" i="2"/>
  <c r="T53" i="2"/>
  <c r="T61" i="2"/>
  <c r="T62" i="2" s="1"/>
  <c r="V63" i="2"/>
  <c r="T60" i="2"/>
  <c r="S53" i="2"/>
  <c r="S61" i="2"/>
  <c r="V65" i="2"/>
  <c r="AA60" i="2"/>
  <c r="V137" i="2"/>
  <c r="X90" i="2"/>
  <c r="X91" i="2" s="1"/>
  <c r="W91" i="2"/>
  <c r="W93" i="2" s="1"/>
  <c r="W92" i="2" s="1"/>
  <c r="Z89" i="2"/>
  <c r="S67" i="2"/>
  <c r="V62" i="2"/>
  <c r="X59" i="2"/>
  <c r="AA67" i="2"/>
  <c r="AB59" i="2"/>
  <c r="W95" i="2"/>
  <c r="T95" i="2"/>
  <c r="AA88" i="2"/>
  <c r="AA89" i="2" s="1"/>
  <c r="V87" i="2"/>
  <c r="Z60" i="2"/>
  <c r="X95" i="2"/>
  <c r="R59" i="2"/>
  <c r="U67" i="2"/>
  <c r="Y67" i="2"/>
  <c r="Y88" i="2"/>
  <c r="S87" i="2"/>
  <c r="R87" i="2"/>
  <c r="Z88" i="2"/>
  <c r="Z90" i="2" s="1"/>
  <c r="Z91" i="2" s="1"/>
  <c r="AB87" i="2"/>
  <c r="AB67" i="2"/>
  <c r="U87" i="2"/>
  <c r="T87" i="2"/>
  <c r="Y59" i="2"/>
  <c r="T67" i="2"/>
  <c r="U59" i="2"/>
  <c r="X88" i="2"/>
  <c r="U95" i="2"/>
  <c r="AB95" i="2"/>
  <c r="B81" i="2"/>
  <c r="AA81" i="2"/>
  <c r="J81" i="2"/>
  <c r="P95" i="2"/>
  <c r="G41" i="3"/>
  <c r="J41" i="3" s="1"/>
  <c r="N95" i="2"/>
  <c r="F87" i="2"/>
  <c r="F88" i="2" s="1"/>
  <c r="F89" i="2" s="1"/>
  <c r="O95" i="2"/>
  <c r="I87" i="2"/>
  <c r="I88" i="2" s="1"/>
  <c r="I89" i="2" s="1"/>
  <c r="I90" i="2" s="1"/>
  <c r="D88" i="2"/>
  <c r="D89" i="2" s="1"/>
  <c r="S52" i="2"/>
  <c r="S80" i="2"/>
  <c r="W52" i="2"/>
  <c r="W80" i="2"/>
  <c r="AA52" i="2"/>
  <c r="AA80" i="2"/>
  <c r="G19" i="2"/>
  <c r="K13" i="8" s="1"/>
  <c r="Z81" i="2"/>
  <c r="Y81" i="2"/>
  <c r="W81" i="2"/>
  <c r="F95" i="2"/>
  <c r="J87" i="2"/>
  <c r="K95" i="2"/>
  <c r="P87" i="2"/>
  <c r="S81" i="2"/>
  <c r="H95" i="2"/>
  <c r="R52" i="2"/>
  <c r="R80" i="2"/>
  <c r="V52" i="2"/>
  <c r="V80" i="2"/>
  <c r="R81" i="2"/>
  <c r="M95" i="2"/>
  <c r="H87" i="2"/>
  <c r="Q95" i="2"/>
  <c r="Z52" i="2"/>
  <c r="Z80" i="2"/>
  <c r="E95" i="2"/>
  <c r="V81" i="2"/>
  <c r="Q87" i="2"/>
  <c r="AB81" i="2"/>
  <c r="I95" i="2"/>
  <c r="N87" i="2"/>
  <c r="N88" i="2" s="1"/>
  <c r="N89" i="2" s="1"/>
  <c r="N90" i="2" s="1"/>
  <c r="N91" i="2" s="1"/>
  <c r="N93" i="2" s="1"/>
  <c r="N92" i="2" s="1"/>
  <c r="M87" i="2"/>
  <c r="T52" i="2"/>
  <c r="T80" i="2"/>
  <c r="Y52" i="2"/>
  <c r="Y80" i="2"/>
  <c r="G95" i="2"/>
  <c r="B52" i="2"/>
  <c r="B80" i="2"/>
  <c r="U52" i="2"/>
  <c r="U80" i="2"/>
  <c r="E87" i="2"/>
  <c r="AB52" i="2"/>
  <c r="AB80" i="2"/>
  <c r="K87" i="2"/>
  <c r="K88" i="2" s="1"/>
  <c r="L95" i="2"/>
  <c r="D95" i="2"/>
  <c r="U81" i="2"/>
  <c r="T81" i="2"/>
  <c r="J95" i="2"/>
  <c r="O87" i="2"/>
  <c r="L87" i="2"/>
  <c r="X52" i="2"/>
  <c r="X80" i="2"/>
  <c r="E55" i="3"/>
  <c r="D42" i="3"/>
  <c r="X81" i="2"/>
  <c r="C87" i="2"/>
  <c r="C95" i="2"/>
  <c r="G87" i="2"/>
  <c r="E23" i="2"/>
  <c r="V73" i="2"/>
  <c r="B73" i="2"/>
  <c r="C59" i="2"/>
  <c r="AD82" i="2"/>
  <c r="Q6" i="2" s="1"/>
  <c r="AD77" i="2"/>
  <c r="AD83" i="2"/>
  <c r="Q7" i="2" s="1"/>
  <c r="D59" i="2"/>
  <c r="AD170" i="2"/>
  <c r="O10" i="2" s="1"/>
  <c r="K29" i="8" s="1"/>
  <c r="AD179" i="2"/>
  <c r="O14" i="2" s="1"/>
  <c r="K33" i="8" s="1"/>
  <c r="AD168" i="2"/>
  <c r="AD159" i="2"/>
  <c r="AD163" i="2"/>
  <c r="D94" i="3"/>
  <c r="D104" i="3" s="1"/>
  <c r="B93" i="3"/>
  <c r="AD167" i="2"/>
  <c r="AD166" i="2"/>
  <c r="O158" i="2"/>
  <c r="AD157" i="2"/>
  <c r="D87" i="3"/>
  <c r="G77" i="3"/>
  <c r="I77" i="3"/>
  <c r="I87" i="3" s="1"/>
  <c r="B76" i="3"/>
  <c r="B60" i="3"/>
  <c r="B61" i="3" s="1" a="1"/>
  <c r="B61" i="3" s="1"/>
  <c r="AD165" i="2"/>
  <c r="O5" i="2" s="1"/>
  <c r="K24" i="8" s="1"/>
  <c r="B181" i="2"/>
  <c r="B180" i="2"/>
  <c r="Y164" i="2"/>
  <c r="U42" i="2"/>
  <c r="T42" i="2"/>
  <c r="C68" i="3"/>
  <c r="N129" i="2"/>
  <c r="N130" i="2" s="1"/>
  <c r="N136" i="2" s="1"/>
  <c r="K47" i="2"/>
  <c r="K81" i="2" s="1"/>
  <c r="C20" i="2"/>
  <c r="L14" i="8" s="1"/>
  <c r="AD110" i="2"/>
  <c r="M6" i="2" s="1"/>
  <c r="AB42" i="2"/>
  <c r="S42" i="2"/>
  <c r="AA42" i="2"/>
  <c r="X42" i="2"/>
  <c r="W42" i="2"/>
  <c r="V42" i="2"/>
  <c r="Z42" i="2"/>
  <c r="Y42" i="2"/>
  <c r="R42" i="2"/>
  <c r="AD135" i="2"/>
  <c r="AD107" i="2"/>
  <c r="AD51" i="2"/>
  <c r="E76" i="5"/>
  <c r="D78" i="5"/>
  <c r="E17" i="2"/>
  <c r="I11" i="8" s="1"/>
  <c r="F17" i="2"/>
  <c r="J11" i="8" s="1"/>
  <c r="F19" i="3"/>
  <c r="AD35" i="2"/>
  <c r="B37" i="2"/>
  <c r="B102" i="2"/>
  <c r="B109" i="2"/>
  <c r="B125" i="2" s="1"/>
  <c r="B130" i="2"/>
  <c r="B137" i="2"/>
  <c r="AD40" i="2"/>
  <c r="L7" i="2" s="1"/>
  <c r="H26" i="8" s="1"/>
  <c r="AD58" i="2"/>
  <c r="P10" i="2" s="1"/>
  <c r="L29" i="8" s="1"/>
  <c r="AD56" i="2"/>
  <c r="P8" i="2" s="1"/>
  <c r="AD112" i="2"/>
  <c r="M8" i="2" s="1"/>
  <c r="AD114" i="2"/>
  <c r="M10" i="2" s="1"/>
  <c r="I29" i="8" s="1"/>
  <c r="AD123" i="2"/>
  <c r="M14" i="2" s="1"/>
  <c r="I33" i="8" s="1"/>
  <c r="AD140" i="2"/>
  <c r="N8" i="2" s="1"/>
  <c r="AD142" i="2"/>
  <c r="N10" i="2" s="1"/>
  <c r="J29" i="8" s="1"/>
  <c r="AD151" i="2"/>
  <c r="N14" i="2" s="1"/>
  <c r="J33" i="8" s="1"/>
  <c r="AD111" i="2"/>
  <c r="M7" i="2" s="1"/>
  <c r="AD55" i="2"/>
  <c r="P7" i="2" s="1"/>
  <c r="AD138" i="2"/>
  <c r="N6" i="2" s="1"/>
  <c r="AD54" i="2"/>
  <c r="P6" i="2" s="1"/>
  <c r="AD139" i="2"/>
  <c r="N7" i="2" s="1"/>
  <c r="Q45" i="2"/>
  <c r="Q47" i="2"/>
  <c r="Q81" i="2" s="1"/>
  <c r="Q101" i="2"/>
  <c r="Q102" i="2" s="1"/>
  <c r="Q108" i="2" s="1"/>
  <c r="Q129" i="2"/>
  <c r="Q130" i="2" s="1"/>
  <c r="Q136" i="2" s="1"/>
  <c r="Q131" i="2"/>
  <c r="Q103" i="2"/>
  <c r="P45" i="2"/>
  <c r="P101" i="2"/>
  <c r="P102" i="2" s="1"/>
  <c r="P108" i="2" s="1"/>
  <c r="P129" i="2"/>
  <c r="P130" i="2" s="1"/>
  <c r="P136" i="2" s="1"/>
  <c r="P131" i="2"/>
  <c r="P47" i="2"/>
  <c r="P81" i="2" s="1"/>
  <c r="N101" i="2"/>
  <c r="N102" i="2" s="1"/>
  <c r="N108" i="2" s="1"/>
  <c r="N47" i="2"/>
  <c r="N81" i="2" s="1"/>
  <c r="P103" i="2"/>
  <c r="O45" i="2"/>
  <c r="O101" i="2"/>
  <c r="O102" i="2" s="1"/>
  <c r="O108" i="2" s="1"/>
  <c r="O103" i="2"/>
  <c r="O129" i="2"/>
  <c r="O130" i="2" s="1"/>
  <c r="O136" i="2" s="1"/>
  <c r="O131" i="2"/>
  <c r="O47" i="2"/>
  <c r="O81" i="2" s="1"/>
  <c r="N45" i="2"/>
  <c r="N103" i="2"/>
  <c r="N131" i="2"/>
  <c r="M45" i="2"/>
  <c r="M47" i="2"/>
  <c r="M81" i="2" s="1"/>
  <c r="M101" i="2"/>
  <c r="M102" i="2" s="1"/>
  <c r="M108" i="2" s="1"/>
  <c r="M103" i="2"/>
  <c r="M129" i="2"/>
  <c r="M130" i="2" s="1"/>
  <c r="M136" i="2" s="1"/>
  <c r="M131" i="2"/>
  <c r="L45" i="2"/>
  <c r="L47" i="2"/>
  <c r="L81" i="2" s="1"/>
  <c r="L129" i="2"/>
  <c r="L130" i="2" s="1"/>
  <c r="L136" i="2" s="1"/>
  <c r="L131" i="2"/>
  <c r="K45" i="2"/>
  <c r="K101" i="2"/>
  <c r="K102" i="2" s="1"/>
  <c r="K108" i="2" s="1"/>
  <c r="K103" i="2"/>
  <c r="K129" i="2"/>
  <c r="K130" i="2" s="1"/>
  <c r="K136" i="2" s="1"/>
  <c r="K131" i="2"/>
  <c r="J45" i="2"/>
  <c r="J101" i="2"/>
  <c r="J102" i="2" s="1"/>
  <c r="J108" i="2" s="1"/>
  <c r="J103" i="2"/>
  <c r="E19" i="2" s="1"/>
  <c r="I13" i="8" s="1"/>
  <c r="J129" i="2"/>
  <c r="J130" i="2" s="1"/>
  <c r="J136" i="2" s="1"/>
  <c r="J131" i="2"/>
  <c r="F19" i="2" s="1"/>
  <c r="J13" i="8" s="1"/>
  <c r="I45" i="2"/>
  <c r="I101" i="2"/>
  <c r="I102" i="2" s="1"/>
  <c r="I108" i="2" s="1"/>
  <c r="I103" i="2"/>
  <c r="I129" i="2"/>
  <c r="I130" i="2" s="1"/>
  <c r="I136" i="2" s="1"/>
  <c r="I131" i="2"/>
  <c r="I47" i="2"/>
  <c r="I81" i="2" s="1"/>
  <c r="H45" i="2"/>
  <c r="H101" i="2"/>
  <c r="H102" i="2" s="1"/>
  <c r="H108" i="2" s="1"/>
  <c r="H103" i="2"/>
  <c r="H47" i="2"/>
  <c r="H81" i="2" s="1"/>
  <c r="H129" i="2"/>
  <c r="H130" i="2" s="1"/>
  <c r="H136" i="2" s="1"/>
  <c r="H131" i="2"/>
  <c r="G45" i="2"/>
  <c r="G101" i="2"/>
  <c r="G102" i="2" s="1"/>
  <c r="G108" i="2" s="1"/>
  <c r="G103" i="2"/>
  <c r="G129" i="2"/>
  <c r="G130" i="2" s="1"/>
  <c r="G136" i="2" s="1"/>
  <c r="G131" i="2"/>
  <c r="G47" i="2"/>
  <c r="G81" i="2" s="1"/>
  <c r="F45" i="2"/>
  <c r="F101" i="2"/>
  <c r="F102" i="2" s="1"/>
  <c r="F108" i="2" s="1"/>
  <c r="F103" i="2"/>
  <c r="D45" i="2"/>
  <c r="D80" i="2" s="1"/>
  <c r="D101" i="2"/>
  <c r="F129" i="2"/>
  <c r="F130" i="2" s="1"/>
  <c r="F136" i="2" s="1"/>
  <c r="F131" i="2"/>
  <c r="F47" i="2"/>
  <c r="F81" i="2" s="1"/>
  <c r="E45" i="2"/>
  <c r="E101" i="2"/>
  <c r="E102" i="2" s="1"/>
  <c r="E108" i="2" s="1"/>
  <c r="E103" i="2"/>
  <c r="E129" i="2"/>
  <c r="E130" i="2" s="1"/>
  <c r="E136" i="2" s="1"/>
  <c r="E131" i="2"/>
  <c r="E47" i="2"/>
  <c r="E81" i="2" s="1"/>
  <c r="D47" i="2"/>
  <c r="D81" i="2" s="1"/>
  <c r="D103" i="2"/>
  <c r="D129" i="2"/>
  <c r="D130" i="2" s="1"/>
  <c r="D136" i="2" s="1"/>
  <c r="D131" i="2"/>
  <c r="C45" i="2"/>
  <c r="C101" i="2"/>
  <c r="C102" i="2" s="1"/>
  <c r="C108" i="2" s="1"/>
  <c r="C129" i="2"/>
  <c r="S62" i="2" l="1"/>
  <c r="S73" i="2"/>
  <c r="V64" i="2"/>
  <c r="V69" i="2"/>
  <c r="D93" i="3"/>
  <c r="B95" i="3" a="1"/>
  <c r="B95" i="3" s="1"/>
  <c r="D60" i="3"/>
  <c r="I60" i="3" s="1"/>
  <c r="P26" i="2"/>
  <c r="Q26" i="2" s="1"/>
  <c r="T73" i="2"/>
  <c r="S63" i="2"/>
  <c r="S65" i="2" s="1"/>
  <c r="F20" i="2"/>
  <c r="J14" i="8" s="1"/>
  <c r="AB171" i="2"/>
  <c r="V143" i="2"/>
  <c r="R143" i="2"/>
  <c r="U171" i="2"/>
  <c r="X171" i="2"/>
  <c r="W143" i="2"/>
  <c r="AB143" i="2"/>
  <c r="R171" i="2"/>
  <c r="Y171" i="2"/>
  <c r="Z171" i="2"/>
  <c r="S171" i="2"/>
  <c r="V171" i="2"/>
  <c r="AA171" i="2"/>
  <c r="T171" i="2"/>
  <c r="W171" i="2"/>
  <c r="Z143" i="2"/>
  <c r="Y143" i="2"/>
  <c r="AA143" i="2"/>
  <c r="T143" i="2"/>
  <c r="S143" i="2"/>
  <c r="X143" i="2"/>
  <c r="U143" i="2"/>
  <c r="Y60" i="2"/>
  <c r="R88" i="2"/>
  <c r="W62" i="2"/>
  <c r="T88" i="2"/>
  <c r="S88" i="2"/>
  <c r="U88" i="2"/>
  <c r="Y89" i="2"/>
  <c r="Y90" i="2" s="1"/>
  <c r="AB60" i="2"/>
  <c r="U60" i="2"/>
  <c r="Z61" i="2"/>
  <c r="Z73" i="2" s="1"/>
  <c r="X93" i="2"/>
  <c r="X92" i="2" s="1"/>
  <c r="AA61" i="2"/>
  <c r="AA73" i="2" s="1"/>
  <c r="X60" i="2"/>
  <c r="AB88" i="2"/>
  <c r="R60" i="2"/>
  <c r="V88" i="2"/>
  <c r="Y115" i="2"/>
  <c r="V115" i="2"/>
  <c r="R115" i="2"/>
  <c r="Z115" i="2"/>
  <c r="W115" i="2"/>
  <c r="AA115" i="2"/>
  <c r="X115" i="2"/>
  <c r="AB115" i="2"/>
  <c r="U115" i="2"/>
  <c r="S115" i="2"/>
  <c r="T115" i="2"/>
  <c r="Z93" i="2"/>
  <c r="Z92" i="2" s="1"/>
  <c r="T63" i="2"/>
  <c r="T65" i="2" s="1"/>
  <c r="AA90" i="2"/>
  <c r="AA91" i="2" s="1"/>
  <c r="I91" i="2"/>
  <c r="I93" i="2" s="1"/>
  <c r="I92" i="2" s="1"/>
  <c r="O171" i="2"/>
  <c r="G171" i="2"/>
  <c r="G172" i="2" s="1"/>
  <c r="G173" i="2" s="1"/>
  <c r="G174" i="2" s="1"/>
  <c r="G175" i="2" s="1"/>
  <c r="G177" i="2" s="1"/>
  <c r="P171" i="2"/>
  <c r="H171" i="2"/>
  <c r="N171" i="2"/>
  <c r="N172" i="2" s="1"/>
  <c r="N173" i="2" s="1"/>
  <c r="N174" i="2" s="1"/>
  <c r="N175" i="2" s="1"/>
  <c r="N177" i="2" s="1"/>
  <c r="F171" i="2"/>
  <c r="F172" i="2" s="1"/>
  <c r="F173" i="2" s="1"/>
  <c r="F174" i="2" s="1"/>
  <c r="F175" i="2" s="1"/>
  <c r="F177" i="2" s="1"/>
  <c r="M171" i="2"/>
  <c r="E171" i="2"/>
  <c r="L171" i="2"/>
  <c r="L172" i="2" s="1"/>
  <c r="L173" i="2" s="1"/>
  <c r="L174" i="2" s="1"/>
  <c r="L175" i="2" s="1"/>
  <c r="L177" i="2" s="1"/>
  <c r="D171" i="2"/>
  <c r="D172" i="2" s="1"/>
  <c r="D173" i="2" s="1"/>
  <c r="D174" i="2" s="1"/>
  <c r="D175" i="2" s="1"/>
  <c r="K171" i="2"/>
  <c r="C171" i="2"/>
  <c r="J171" i="2"/>
  <c r="Q171" i="2"/>
  <c r="Q172" i="2" s="1"/>
  <c r="I171" i="2"/>
  <c r="F90" i="2"/>
  <c r="F91" i="2" s="1"/>
  <c r="F93" i="2" s="1"/>
  <c r="F92" i="2" s="1"/>
  <c r="D90" i="2"/>
  <c r="D91" i="2" s="1"/>
  <c r="D93" i="2" s="1"/>
  <c r="D92" i="2" s="1"/>
  <c r="J52" i="2"/>
  <c r="J80" i="2"/>
  <c r="O52" i="2"/>
  <c r="O80" i="2"/>
  <c r="G88" i="2"/>
  <c r="K89" i="2"/>
  <c r="K90" i="2" s="1"/>
  <c r="M88" i="2"/>
  <c r="P52" i="2"/>
  <c r="P80" i="2"/>
  <c r="E52" i="2"/>
  <c r="E80" i="2"/>
  <c r="F52" i="2"/>
  <c r="F80" i="2"/>
  <c r="L52" i="2"/>
  <c r="L80" i="2"/>
  <c r="B40" i="3"/>
  <c r="N52" i="2"/>
  <c r="N80" i="2"/>
  <c r="L88" i="2"/>
  <c r="C88" i="2"/>
  <c r="O88" i="2"/>
  <c r="H88" i="2"/>
  <c r="E88" i="2"/>
  <c r="E89" i="2" s="1"/>
  <c r="P88" i="2"/>
  <c r="Q88" i="2"/>
  <c r="I52" i="2"/>
  <c r="I80" i="2"/>
  <c r="J88" i="2"/>
  <c r="H52" i="2"/>
  <c r="H80" i="2"/>
  <c r="K52" i="2"/>
  <c r="K80" i="2"/>
  <c r="Q52" i="2"/>
  <c r="Q80" i="2"/>
  <c r="C52" i="2"/>
  <c r="C80" i="2"/>
  <c r="G52" i="2"/>
  <c r="G80" i="2"/>
  <c r="M52" i="2"/>
  <c r="M80" i="2"/>
  <c r="W97" i="2"/>
  <c r="G42" i="3"/>
  <c r="I42" i="3"/>
  <c r="AD78" i="2"/>
  <c r="B79" i="2"/>
  <c r="C60" i="2"/>
  <c r="C61" i="2" s="1"/>
  <c r="B96" i="2"/>
  <c r="O164" i="2"/>
  <c r="AD164" i="2" s="1"/>
  <c r="AD158" i="2"/>
  <c r="I94" i="3"/>
  <c r="I104" i="3" s="1"/>
  <c r="G94" i="3"/>
  <c r="G87" i="3"/>
  <c r="J77" i="3"/>
  <c r="J87" i="3" s="1"/>
  <c r="D76" i="3"/>
  <c r="B78" i="3"/>
  <c r="G20" i="2"/>
  <c r="G93" i="3"/>
  <c r="I93" i="3"/>
  <c r="AD103" i="2"/>
  <c r="AD131" i="2"/>
  <c r="AD47" i="2"/>
  <c r="B68" i="2"/>
  <c r="F76" i="5"/>
  <c r="E78" i="5"/>
  <c r="C41" i="2" s="1"/>
  <c r="C39" i="2"/>
  <c r="E39" i="2"/>
  <c r="F39" i="2"/>
  <c r="G39" i="2"/>
  <c r="D39" i="2"/>
  <c r="H39" i="2"/>
  <c r="I39" i="2"/>
  <c r="J39" i="2"/>
  <c r="K39" i="2"/>
  <c r="L39" i="2"/>
  <c r="M39" i="2"/>
  <c r="N39" i="2"/>
  <c r="O39" i="2"/>
  <c r="P39" i="2"/>
  <c r="Q39" i="2"/>
  <c r="G60" i="3"/>
  <c r="D58" i="3"/>
  <c r="AD37" i="2"/>
  <c r="L4" i="2" s="1"/>
  <c r="H23" i="8" s="1"/>
  <c r="B42" i="2"/>
  <c r="B182" i="2" s="1"/>
  <c r="B69" i="2"/>
  <c r="B108" i="2"/>
  <c r="B124" i="2" s="1"/>
  <c r="B136" i="2"/>
  <c r="B153" i="2"/>
  <c r="Q53" i="2"/>
  <c r="Q137" i="2"/>
  <c r="Q109" i="2"/>
  <c r="P137" i="2"/>
  <c r="P53" i="2"/>
  <c r="N53" i="2"/>
  <c r="P109" i="2"/>
  <c r="O109" i="2"/>
  <c r="O137" i="2"/>
  <c r="O53" i="2"/>
  <c r="N109" i="2"/>
  <c r="N137" i="2"/>
  <c r="M53" i="2"/>
  <c r="M109" i="2"/>
  <c r="M137" i="2"/>
  <c r="L53" i="2"/>
  <c r="L137" i="2"/>
  <c r="K109" i="2"/>
  <c r="K53" i="2"/>
  <c r="K137" i="2"/>
  <c r="J109" i="2"/>
  <c r="J137" i="2"/>
  <c r="J53" i="2"/>
  <c r="I109" i="2"/>
  <c r="I137" i="2"/>
  <c r="I53" i="2"/>
  <c r="H109" i="2"/>
  <c r="H53" i="2"/>
  <c r="H137" i="2"/>
  <c r="G109" i="2"/>
  <c r="G137" i="2"/>
  <c r="G53" i="2"/>
  <c r="F109" i="2"/>
  <c r="F137" i="2"/>
  <c r="F53" i="2"/>
  <c r="E109" i="2"/>
  <c r="E137" i="2"/>
  <c r="E53" i="2"/>
  <c r="D53" i="2"/>
  <c r="D109" i="2"/>
  <c r="D137" i="2"/>
  <c r="C53" i="2"/>
  <c r="C109" i="2"/>
  <c r="C137" i="2"/>
  <c r="D52" i="2"/>
  <c r="AD45" i="2"/>
  <c r="D102" i="2"/>
  <c r="AD101" i="2"/>
  <c r="C130" i="2"/>
  <c r="AD129" i="2"/>
  <c r="B100" i="3" l="1"/>
  <c r="D100" i="3" s="1"/>
  <c r="K14" i="8"/>
  <c r="B52" i="3"/>
  <c r="B43" i="3" a="1"/>
  <c r="B43" i="3" s="1"/>
  <c r="J94" i="3"/>
  <c r="J104" i="3" s="1"/>
  <c r="G104" i="3"/>
  <c r="X97" i="2"/>
  <c r="T64" i="2"/>
  <c r="T69" i="2"/>
  <c r="T90" i="2"/>
  <c r="T91" i="2" s="1"/>
  <c r="T93" i="2" s="1"/>
  <c r="Y91" i="2"/>
  <c r="Y93" i="2" s="1"/>
  <c r="S64" i="2"/>
  <c r="S69" i="2"/>
  <c r="Y172" i="2"/>
  <c r="W116" i="2"/>
  <c r="Y61" i="2"/>
  <c r="U144" i="2"/>
  <c r="Z97" i="2"/>
  <c r="S116" i="2"/>
  <c r="V116" i="2"/>
  <c r="U61" i="2"/>
  <c r="W63" i="2"/>
  <c r="W65" i="2" s="1"/>
  <c r="X144" i="2"/>
  <c r="AA172" i="2"/>
  <c r="X172" i="2"/>
  <c r="Y144" i="2"/>
  <c r="T89" i="2"/>
  <c r="R172" i="2"/>
  <c r="AB144" i="2"/>
  <c r="T172" i="2"/>
  <c r="U116" i="2"/>
  <c r="Y116" i="2"/>
  <c r="S144" i="2"/>
  <c r="V172" i="2"/>
  <c r="U172" i="2"/>
  <c r="AB172" i="2"/>
  <c r="R61" i="2"/>
  <c r="R73" i="2" s="1"/>
  <c r="Z144" i="2"/>
  <c r="Z116" i="2"/>
  <c r="U89" i="2"/>
  <c r="U90" i="2" s="1"/>
  <c r="T116" i="2"/>
  <c r="X61" i="2"/>
  <c r="W144" i="2"/>
  <c r="AB116" i="2"/>
  <c r="V89" i="2"/>
  <c r="AB89" i="2"/>
  <c r="AB90" i="2" s="1"/>
  <c r="AB91" i="2" s="1"/>
  <c r="Z62" i="2"/>
  <c r="T144" i="2"/>
  <c r="S172" i="2"/>
  <c r="R144" i="2"/>
  <c r="AA116" i="2"/>
  <c r="W172" i="2"/>
  <c r="R116" i="2"/>
  <c r="AA93" i="2"/>
  <c r="X116" i="2"/>
  <c r="V90" i="2"/>
  <c r="V91" i="2" s="1"/>
  <c r="AB61" i="2"/>
  <c r="S89" i="2"/>
  <c r="S90" i="2" s="1"/>
  <c r="S91" i="2" s="1"/>
  <c r="R89" i="2"/>
  <c r="R90" i="2" s="1"/>
  <c r="R91" i="2" s="1"/>
  <c r="AA144" i="2"/>
  <c r="Z172" i="2"/>
  <c r="V144" i="2"/>
  <c r="AA62" i="2"/>
  <c r="B126" i="2"/>
  <c r="C172" i="2"/>
  <c r="C173" i="2" s="1"/>
  <c r="E90" i="2"/>
  <c r="E91" i="2" s="1"/>
  <c r="E93" i="2" s="1"/>
  <c r="E92" i="2" s="1"/>
  <c r="P89" i="2"/>
  <c r="P90" i="2" s="1"/>
  <c r="P91" i="2" s="1"/>
  <c r="K91" i="2"/>
  <c r="K93" i="2" s="1"/>
  <c r="K92" i="2" s="1"/>
  <c r="C89" i="2"/>
  <c r="C90" i="2" s="1"/>
  <c r="C91" i="2" s="1"/>
  <c r="C93" i="2" s="1"/>
  <c r="G89" i="2"/>
  <c r="G90" i="2" s="1"/>
  <c r="J89" i="2"/>
  <c r="J90" i="2" s="1"/>
  <c r="J91" i="2" s="1"/>
  <c r="B70" i="2"/>
  <c r="M89" i="2"/>
  <c r="M90" i="2" s="1"/>
  <c r="M91" i="2" s="1"/>
  <c r="AD52" i="2"/>
  <c r="P4" i="2" s="1"/>
  <c r="B98" i="2"/>
  <c r="Q89" i="2"/>
  <c r="Q90" i="2" s="1"/>
  <c r="Q91" i="2" s="1"/>
  <c r="Q93" i="2" s="1"/>
  <c r="Q92" i="2" s="1"/>
  <c r="H89" i="2"/>
  <c r="H90" i="2" s="1"/>
  <c r="H91" i="2" s="1"/>
  <c r="H93" i="2" s="1"/>
  <c r="H92" i="2" s="1"/>
  <c r="L89" i="2"/>
  <c r="L90" i="2" s="1"/>
  <c r="O89" i="2"/>
  <c r="O90" i="2" s="1"/>
  <c r="O91" i="2" s="1"/>
  <c r="J42" i="3"/>
  <c r="C62" i="2"/>
  <c r="C73" i="2"/>
  <c r="B97" i="2"/>
  <c r="D95" i="3"/>
  <c r="B96" i="3"/>
  <c r="B98" i="3" s="1"/>
  <c r="G76" i="3"/>
  <c r="J76" i="3" s="1"/>
  <c r="I76" i="3"/>
  <c r="D78" i="3"/>
  <c r="B79" i="3"/>
  <c r="B81" i="3" s="1"/>
  <c r="G24" i="3"/>
  <c r="D177" i="2"/>
  <c r="AD171" i="2"/>
  <c r="N176" i="2"/>
  <c r="N181" i="2"/>
  <c r="M172" i="2"/>
  <c r="M173" i="2" s="1"/>
  <c r="M174" i="2" s="1"/>
  <c r="M175" i="2" s="1"/>
  <c r="M177" i="2" s="1"/>
  <c r="H172" i="2"/>
  <c r="O172" i="2"/>
  <c r="J172" i="2"/>
  <c r="J173" i="2" s="1"/>
  <c r="J174" i="2" s="1"/>
  <c r="J175" i="2" s="1"/>
  <c r="J177" i="2" s="1"/>
  <c r="P172" i="2"/>
  <c r="K172" i="2"/>
  <c r="Q173" i="2"/>
  <c r="Q174" i="2" s="1"/>
  <c r="E172" i="2"/>
  <c r="L176" i="2"/>
  <c r="L181" i="2"/>
  <c r="I172" i="2"/>
  <c r="G176" i="2"/>
  <c r="G181" i="2"/>
  <c r="F176" i="2"/>
  <c r="F181" i="2"/>
  <c r="B62" i="3"/>
  <c r="B64" i="3" s="1"/>
  <c r="J93" i="3"/>
  <c r="AD137" i="2"/>
  <c r="N5" i="2" s="1"/>
  <c r="J24" i="8" s="1"/>
  <c r="C136" i="2"/>
  <c r="AD136" i="2" s="1"/>
  <c r="N4" i="2" s="1"/>
  <c r="AD130" i="2"/>
  <c r="D108" i="2"/>
  <c r="AD108" i="2" s="1"/>
  <c r="M4" i="2" s="1"/>
  <c r="AD102" i="2"/>
  <c r="AD53" i="2"/>
  <c r="P5" i="2" s="1"/>
  <c r="L24" i="8" s="1"/>
  <c r="AD109" i="2"/>
  <c r="M5" i="2" s="1"/>
  <c r="I24" i="8" s="1"/>
  <c r="G76" i="5"/>
  <c r="F78" i="5"/>
  <c r="D41" i="2" s="1"/>
  <c r="C42" i="2"/>
  <c r="AD39" i="2"/>
  <c r="L6" i="2" s="1"/>
  <c r="H25" i="8" s="1"/>
  <c r="J60" i="3"/>
  <c r="G58" i="3"/>
  <c r="G70" i="3" s="1"/>
  <c r="I58" i="3"/>
  <c r="I70" i="3" s="1"/>
  <c r="D70" i="3"/>
  <c r="D61" i="3"/>
  <c r="B152" i="2"/>
  <c r="B154" i="2" s="1"/>
  <c r="C115" i="2"/>
  <c r="D115" i="2"/>
  <c r="E115" i="2"/>
  <c r="F115" i="2"/>
  <c r="G115" i="2"/>
  <c r="H115" i="2"/>
  <c r="I115" i="2"/>
  <c r="J115" i="2"/>
  <c r="K115" i="2"/>
  <c r="M115" i="2"/>
  <c r="O115" i="2"/>
  <c r="L115" i="2"/>
  <c r="N115" i="2"/>
  <c r="P115" i="2"/>
  <c r="Q115" i="2"/>
  <c r="E20" i="2"/>
  <c r="C67" i="2"/>
  <c r="E67" i="2"/>
  <c r="E59" i="2"/>
  <c r="F67" i="2"/>
  <c r="F59" i="2"/>
  <c r="G67" i="2"/>
  <c r="G59" i="2"/>
  <c r="D67" i="2"/>
  <c r="H67" i="2"/>
  <c r="H59" i="2"/>
  <c r="I67" i="2"/>
  <c r="I59" i="2"/>
  <c r="J67" i="2"/>
  <c r="J59" i="2"/>
  <c r="K67" i="2"/>
  <c r="K59" i="2"/>
  <c r="L59" i="2"/>
  <c r="M67" i="2"/>
  <c r="M59" i="2"/>
  <c r="L67" i="2"/>
  <c r="N67" i="2"/>
  <c r="N59" i="2"/>
  <c r="O67" i="2"/>
  <c r="O59" i="2"/>
  <c r="P67" i="2"/>
  <c r="P59" i="2"/>
  <c r="Q67" i="2"/>
  <c r="Q59" i="2"/>
  <c r="B30" i="3"/>
  <c r="B33" i="3" s="1"/>
  <c r="B103" i="3" l="1"/>
  <c r="B102" i="3"/>
  <c r="B66" i="3"/>
  <c r="B69" i="3" s="1"/>
  <c r="I14" i="8"/>
  <c r="J24" i="3"/>
  <c r="G95" i="3"/>
  <c r="G96" i="3" s="1"/>
  <c r="G98" i="3" s="1"/>
  <c r="D103" i="3"/>
  <c r="T92" i="2"/>
  <c r="T97" i="2"/>
  <c r="R119" i="2"/>
  <c r="R121" i="2" s="1"/>
  <c r="W64" i="2"/>
  <c r="W69" i="2"/>
  <c r="Y92" i="2"/>
  <c r="Y97" i="2"/>
  <c r="U91" i="2"/>
  <c r="U93" i="2" s="1"/>
  <c r="Y119" i="2"/>
  <c r="R145" i="2"/>
  <c r="R146" i="2" s="1"/>
  <c r="R147" i="2" s="1"/>
  <c r="Z173" i="2"/>
  <c r="Z174" i="2" s="1"/>
  <c r="T117" i="2"/>
  <c r="T118" i="2" s="1"/>
  <c r="U73" i="2"/>
  <c r="U62" i="2"/>
  <c r="W117" i="2"/>
  <c r="Z145" i="2"/>
  <c r="Z146" i="2" s="1"/>
  <c r="AA173" i="2"/>
  <c r="AA174" i="2" s="1"/>
  <c r="U145" i="2"/>
  <c r="Z63" i="2"/>
  <c r="Z65" i="2" s="1"/>
  <c r="AB145" i="2"/>
  <c r="AB146" i="2" s="1"/>
  <c r="AB149" i="2" s="1"/>
  <c r="AA63" i="2"/>
  <c r="AA65" i="2" s="1"/>
  <c r="AA145" i="2"/>
  <c r="AA146" i="2" s="1"/>
  <c r="AA147" i="2" s="1"/>
  <c r="W145" i="2"/>
  <c r="W146" i="2" s="1"/>
  <c r="AB147" i="2"/>
  <c r="U146" i="2"/>
  <c r="U147" i="2" s="1"/>
  <c r="Y177" i="2"/>
  <c r="Y173" i="2"/>
  <c r="Y174" i="2" s="1"/>
  <c r="AB93" i="2"/>
  <c r="Y145" i="2"/>
  <c r="Y146" i="2" s="1"/>
  <c r="Y147" i="2" s="1"/>
  <c r="Y149" i="2"/>
  <c r="X145" i="2"/>
  <c r="X146" i="2" s="1"/>
  <c r="X147" i="2" s="1"/>
  <c r="V117" i="2"/>
  <c r="V118" i="2" s="1"/>
  <c r="V119" i="2" s="1"/>
  <c r="Y175" i="2"/>
  <c r="R62" i="2"/>
  <c r="AB73" i="2"/>
  <c r="AB62" i="2"/>
  <c r="Z122" i="2"/>
  <c r="V122" i="2"/>
  <c r="AA122" i="2"/>
  <c r="W122" i="2"/>
  <c r="AB122" i="2"/>
  <c r="X122" i="2"/>
  <c r="Y122" i="2"/>
  <c r="R122" i="2"/>
  <c r="T122" i="2"/>
  <c r="U122" i="2"/>
  <c r="S122" i="2"/>
  <c r="Y117" i="2"/>
  <c r="Y118" i="2" s="1"/>
  <c r="Y121" i="2" s="1"/>
  <c r="V145" i="2"/>
  <c r="V146" i="2" s="1"/>
  <c r="V147" i="2" s="1"/>
  <c r="R93" i="2"/>
  <c r="X118" i="2"/>
  <c r="X119" i="2" s="1"/>
  <c r="W177" i="2"/>
  <c r="W173" i="2"/>
  <c r="W174" i="2" s="1"/>
  <c r="W175" i="2" s="1"/>
  <c r="X73" i="2"/>
  <c r="X62" i="2"/>
  <c r="AB173" i="2"/>
  <c r="AB174" i="2" s="1"/>
  <c r="AB175" i="2" s="1"/>
  <c r="U117" i="2"/>
  <c r="U118" i="2" s="1"/>
  <c r="U119" i="2" s="1"/>
  <c r="U121" i="2"/>
  <c r="R173" i="2"/>
  <c r="X173" i="2"/>
  <c r="S117" i="2"/>
  <c r="Y73" i="2"/>
  <c r="Y62" i="2"/>
  <c r="AA92" i="2"/>
  <c r="AA97" i="2"/>
  <c r="S173" i="2"/>
  <c r="S174" i="2" s="1"/>
  <c r="S175" i="2" s="1"/>
  <c r="V93" i="2"/>
  <c r="Z117" i="2"/>
  <c r="Z118" i="2" s="1"/>
  <c r="Z119" i="2" s="1"/>
  <c r="S145" i="2"/>
  <c r="S146" i="2" s="1"/>
  <c r="S147" i="2" s="1"/>
  <c r="R174" i="2"/>
  <c r="R177" i="2" s="1"/>
  <c r="X174" i="2"/>
  <c r="X177" i="2" s="1"/>
  <c r="R117" i="2"/>
  <c r="R118" i="2" s="1"/>
  <c r="V173" i="2"/>
  <c r="V174" i="2" s="1"/>
  <c r="X117" i="2"/>
  <c r="S93" i="2"/>
  <c r="AA121" i="2"/>
  <c r="AA117" i="2"/>
  <c r="AA118" i="2" s="1"/>
  <c r="AA119" i="2" s="1"/>
  <c r="T145" i="2"/>
  <c r="T146" i="2" s="1"/>
  <c r="T147" i="2" s="1"/>
  <c r="AB117" i="2"/>
  <c r="AB118" i="2" s="1"/>
  <c r="AB119" i="2" s="1"/>
  <c r="U177" i="2"/>
  <c r="U173" i="2"/>
  <c r="U174" i="2" s="1"/>
  <c r="U175" i="2" s="1"/>
  <c r="T173" i="2"/>
  <c r="T174" i="2" s="1"/>
  <c r="T175" i="2" s="1"/>
  <c r="R175" i="2"/>
  <c r="X175" i="2"/>
  <c r="S118" i="2"/>
  <c r="S119" i="2" s="1"/>
  <c r="W118" i="2"/>
  <c r="W119" i="2" s="1"/>
  <c r="C174" i="2"/>
  <c r="B44" i="3"/>
  <c r="B46" i="3" s="1"/>
  <c r="D22" i="3"/>
  <c r="D34" i="3" s="1"/>
  <c r="C178" i="2"/>
  <c r="O93" i="2"/>
  <c r="O92" i="2" s="1"/>
  <c r="M93" i="2"/>
  <c r="M92" i="2" s="1"/>
  <c r="C97" i="2"/>
  <c r="C92" i="2"/>
  <c r="G91" i="2"/>
  <c r="G93" i="2"/>
  <c r="G92" i="2" s="1"/>
  <c r="J93" i="2"/>
  <c r="J92" i="2" s="1"/>
  <c r="B26" i="3"/>
  <c r="B28" i="3" s="1"/>
  <c r="B32" i="3" s="1"/>
  <c r="Q25" i="2"/>
  <c r="L91" i="2"/>
  <c r="L93" i="2" s="1"/>
  <c r="L92" i="2" s="1"/>
  <c r="P93" i="2"/>
  <c r="P92" i="2" s="1"/>
  <c r="D96" i="3"/>
  <c r="D98" i="3" s="1"/>
  <c r="D40" i="3"/>
  <c r="I95" i="3"/>
  <c r="D79" i="3"/>
  <c r="D81" i="3" s="1"/>
  <c r="I78" i="3"/>
  <c r="I79" i="3" s="1"/>
  <c r="I81" i="3" s="1"/>
  <c r="F15" i="2" s="1"/>
  <c r="J9" i="8" s="1"/>
  <c r="G78" i="3"/>
  <c r="P28" i="2"/>
  <c r="D176" i="2"/>
  <c r="D181" i="2"/>
  <c r="AD172" i="2"/>
  <c r="M181" i="2"/>
  <c r="M176" i="2"/>
  <c r="J181" i="2"/>
  <c r="J176" i="2"/>
  <c r="E173" i="2"/>
  <c r="E174" i="2" s="1"/>
  <c r="E175" i="2" s="1"/>
  <c r="E177" i="2" s="1"/>
  <c r="I100" i="3"/>
  <c r="G100" i="3"/>
  <c r="D178" i="2"/>
  <c r="F178" i="2"/>
  <c r="G178" i="2"/>
  <c r="J178" i="2"/>
  <c r="L178" i="2"/>
  <c r="M178" i="2"/>
  <c r="N178" i="2"/>
  <c r="O178" i="2"/>
  <c r="P178" i="2"/>
  <c r="Q178" i="2"/>
  <c r="O22" i="2"/>
  <c r="K41" i="8" s="1"/>
  <c r="E178" i="2"/>
  <c r="K178" i="2"/>
  <c r="H178" i="2"/>
  <c r="I178" i="2"/>
  <c r="H173" i="2"/>
  <c r="H174" i="2" s="1"/>
  <c r="H175" i="2" s="1"/>
  <c r="H177" i="2" s="1"/>
  <c r="O173" i="2"/>
  <c r="O174" i="2" s="1"/>
  <c r="O175" i="2" s="1"/>
  <c r="O177" i="2" s="1"/>
  <c r="P173" i="2"/>
  <c r="P174" i="2" s="1"/>
  <c r="P175" i="2" s="1"/>
  <c r="P177" i="2" s="1"/>
  <c r="K173" i="2"/>
  <c r="K174" i="2" s="1"/>
  <c r="K175" i="2" s="1"/>
  <c r="K177" i="2" s="1"/>
  <c r="Q175" i="2"/>
  <c r="Q177" i="2" s="1"/>
  <c r="I173" i="2"/>
  <c r="I174" i="2" s="1"/>
  <c r="I175" i="2" s="1"/>
  <c r="I177" i="2" s="1"/>
  <c r="D30" i="3"/>
  <c r="D62" i="3"/>
  <c r="D64" i="3" s="1"/>
  <c r="H76" i="5"/>
  <c r="G78" i="5"/>
  <c r="E41" i="2" s="1"/>
  <c r="D42" i="2"/>
  <c r="J58" i="3"/>
  <c r="I61" i="3"/>
  <c r="G61" i="3"/>
  <c r="AD115" i="2"/>
  <c r="C116" i="2"/>
  <c r="D116" i="2"/>
  <c r="E116" i="2"/>
  <c r="F116" i="2"/>
  <c r="G116" i="2"/>
  <c r="H116" i="2"/>
  <c r="I116" i="2"/>
  <c r="J116" i="2"/>
  <c r="K116" i="2"/>
  <c r="M116" i="2"/>
  <c r="O116" i="2"/>
  <c r="L116" i="2"/>
  <c r="N116" i="2"/>
  <c r="P116" i="2"/>
  <c r="Q116" i="2"/>
  <c r="C143" i="2"/>
  <c r="C144" i="2" s="1"/>
  <c r="D143" i="2"/>
  <c r="E143" i="2"/>
  <c r="F143" i="2"/>
  <c r="G143" i="2"/>
  <c r="H143" i="2"/>
  <c r="I143" i="2"/>
  <c r="J143" i="2"/>
  <c r="K143" i="2"/>
  <c r="L143" i="2"/>
  <c r="M143" i="2"/>
  <c r="N143" i="2"/>
  <c r="O143" i="2"/>
  <c r="P143" i="2"/>
  <c r="Q143" i="2"/>
  <c r="B83" i="3"/>
  <c r="F122" i="2"/>
  <c r="D122" i="2"/>
  <c r="Q122" i="2"/>
  <c r="P122" i="2"/>
  <c r="N122" i="2"/>
  <c r="O122" i="2"/>
  <c r="M122" i="2"/>
  <c r="L122" i="2"/>
  <c r="K122" i="2"/>
  <c r="J122" i="2"/>
  <c r="I122" i="2"/>
  <c r="H122" i="2"/>
  <c r="G122" i="2"/>
  <c r="E122" i="2"/>
  <c r="D66" i="3"/>
  <c r="D69" i="3" s="1"/>
  <c r="AD59" i="2"/>
  <c r="E60" i="2"/>
  <c r="D60" i="2"/>
  <c r="F60" i="2"/>
  <c r="G60" i="2"/>
  <c r="H60" i="2"/>
  <c r="I60" i="2"/>
  <c r="J60" i="2"/>
  <c r="K60" i="2"/>
  <c r="L60" i="2"/>
  <c r="M60" i="2"/>
  <c r="N60" i="2"/>
  <c r="O60" i="2"/>
  <c r="P60" i="2"/>
  <c r="Q60" i="2"/>
  <c r="AD67" i="2"/>
  <c r="P14" i="2" s="1"/>
  <c r="L33" i="8" s="1"/>
  <c r="C122" i="2" l="1"/>
  <c r="B68" i="3"/>
  <c r="G103" i="3"/>
  <c r="J95" i="3"/>
  <c r="J96" i="3" s="1"/>
  <c r="J98" i="3" s="1"/>
  <c r="I96" i="3"/>
  <c r="I98" i="3" s="1"/>
  <c r="I102" i="3" s="1"/>
  <c r="G15" i="2" s="1"/>
  <c r="I103" i="3"/>
  <c r="X176" i="2"/>
  <c r="X181" i="2"/>
  <c r="Z147" i="2"/>
  <c r="Z149" i="2"/>
  <c r="U92" i="2"/>
  <c r="U97" i="2"/>
  <c r="AA64" i="2"/>
  <c r="AA69" i="2"/>
  <c r="T119" i="2"/>
  <c r="T121" i="2"/>
  <c r="Z175" i="2"/>
  <c r="Z177" i="2"/>
  <c r="R120" i="2"/>
  <c r="R125" i="2"/>
  <c r="R124" i="2"/>
  <c r="R126" i="2" s="1"/>
  <c r="R176" i="2"/>
  <c r="R181" i="2"/>
  <c r="Z64" i="2"/>
  <c r="Z69" i="2"/>
  <c r="V175" i="2"/>
  <c r="V177" i="2" s="1"/>
  <c r="W147" i="2"/>
  <c r="W149" i="2"/>
  <c r="AB148" i="2"/>
  <c r="AB153" i="2"/>
  <c r="Y120" i="2"/>
  <c r="Y125" i="2"/>
  <c r="Y124" i="2"/>
  <c r="Y126" i="2" s="1"/>
  <c r="AA175" i="2"/>
  <c r="AA177" i="2" s="1"/>
  <c r="S92" i="2"/>
  <c r="S97" i="2"/>
  <c r="U176" i="2"/>
  <c r="U181" i="2"/>
  <c r="AA120" i="2"/>
  <c r="AA124" i="2"/>
  <c r="AA126" i="2" s="1"/>
  <c r="AA125" i="2"/>
  <c r="Y63" i="2"/>
  <c r="Y65" i="2"/>
  <c r="W176" i="2"/>
  <c r="W181" i="2"/>
  <c r="Y176" i="2"/>
  <c r="Y181" i="2"/>
  <c r="U149" i="2"/>
  <c r="V92" i="2"/>
  <c r="V97" i="2"/>
  <c r="X149" i="2"/>
  <c r="S177" i="2"/>
  <c r="V149" i="2"/>
  <c r="U120" i="2"/>
  <c r="U124" i="2"/>
  <c r="U126" i="2" s="1"/>
  <c r="U125" i="2"/>
  <c r="R92" i="2"/>
  <c r="R97" i="2"/>
  <c r="AB63" i="2"/>
  <c r="AB65" i="2" s="1"/>
  <c r="Y66" i="2"/>
  <c r="U94" i="2"/>
  <c r="U96" i="2" s="1"/>
  <c r="U98" i="2" s="1"/>
  <c r="V94" i="2"/>
  <c r="V96" i="2" s="1"/>
  <c r="V98" i="2" s="1"/>
  <c r="S94" i="2"/>
  <c r="S96" i="2" s="1"/>
  <c r="S98" i="2" s="1"/>
  <c r="T94" i="2"/>
  <c r="T96" i="2" s="1"/>
  <c r="T98" i="2" s="1"/>
  <c r="Z66" i="2"/>
  <c r="Z68" i="2" s="1"/>
  <c r="Z70" i="2" s="1"/>
  <c r="AA94" i="2"/>
  <c r="AA96" i="2" s="1"/>
  <c r="AA98" i="2" s="1"/>
  <c r="AB94" i="2"/>
  <c r="AB96" i="2" s="1"/>
  <c r="AB98" i="2" s="1"/>
  <c r="Y94" i="2"/>
  <c r="Y96" i="2" s="1"/>
  <c r="Y98" i="2" s="1"/>
  <c r="R94" i="2"/>
  <c r="R96" i="2" s="1"/>
  <c r="R98" i="2" s="1"/>
  <c r="W66" i="2"/>
  <c r="W68" i="2" s="1"/>
  <c r="W70" i="2" s="1"/>
  <c r="W94" i="2"/>
  <c r="W96" i="2" s="1"/>
  <c r="W98" i="2" s="1"/>
  <c r="Z94" i="2"/>
  <c r="Z96" i="2" s="1"/>
  <c r="Z98" i="2" s="1"/>
  <c r="X94" i="2"/>
  <c r="X96" i="2" s="1"/>
  <c r="X98" i="2" s="1"/>
  <c r="AB66" i="2"/>
  <c r="X66" i="2"/>
  <c r="T66" i="2"/>
  <c r="T68" i="2" s="1"/>
  <c r="T70" i="2" s="1"/>
  <c r="U66" i="2"/>
  <c r="V66" i="2"/>
  <c r="V68" i="2" s="1"/>
  <c r="V70" i="2" s="1"/>
  <c r="R66" i="2"/>
  <c r="S66" i="2"/>
  <c r="S68" i="2" s="1"/>
  <c r="S70" i="2" s="1"/>
  <c r="AA66" i="2"/>
  <c r="AA68" i="2" s="1"/>
  <c r="AA70" i="2" s="1"/>
  <c r="T177" i="2"/>
  <c r="T149" i="2"/>
  <c r="S149" i="2"/>
  <c r="X63" i="2"/>
  <c r="X65" i="2"/>
  <c r="R63" i="2"/>
  <c r="R65" i="2"/>
  <c r="S121" i="2"/>
  <c r="AB121" i="2"/>
  <c r="AB177" i="2"/>
  <c r="AB92" i="2"/>
  <c r="AB97" i="2"/>
  <c r="AA149" i="2"/>
  <c r="W121" i="2"/>
  <c r="R149" i="2"/>
  <c r="Y148" i="2"/>
  <c r="Y153" i="2"/>
  <c r="X121" i="2"/>
  <c r="Z121" i="2"/>
  <c r="V121" i="2"/>
  <c r="U63" i="2"/>
  <c r="U65" i="2"/>
  <c r="I22" i="3"/>
  <c r="I34" i="3" s="1"/>
  <c r="G22" i="3"/>
  <c r="G34" i="3" s="1"/>
  <c r="D102" i="3"/>
  <c r="C66" i="2"/>
  <c r="C94" i="2"/>
  <c r="L94" i="2"/>
  <c r="H94" i="2"/>
  <c r="F94" i="2"/>
  <c r="P94" i="2"/>
  <c r="K94" i="2"/>
  <c r="N94" i="2"/>
  <c r="I94" i="2"/>
  <c r="D94" i="2"/>
  <c r="Q94" i="2"/>
  <c r="J94" i="2"/>
  <c r="E94" i="2"/>
  <c r="G94" i="2"/>
  <c r="M94" i="2"/>
  <c r="O94" i="2"/>
  <c r="P27" i="2"/>
  <c r="Q27" i="2" s="1"/>
  <c r="Q28" i="2" s="1"/>
  <c r="D25" i="3"/>
  <c r="D43" i="3"/>
  <c r="I40" i="3"/>
  <c r="I52" i="3" s="1"/>
  <c r="D52" i="3"/>
  <c r="G40" i="3"/>
  <c r="G52" i="3" s="1"/>
  <c r="J78" i="3"/>
  <c r="J79" i="3" s="1"/>
  <c r="J81" i="3" s="1"/>
  <c r="G79" i="3"/>
  <c r="J66" i="2"/>
  <c r="I30" i="3"/>
  <c r="P66" i="2"/>
  <c r="L66" i="2"/>
  <c r="I66" i="2"/>
  <c r="P22" i="2"/>
  <c r="L41" i="8" s="1"/>
  <c r="Q66" i="2"/>
  <c r="N66" i="2"/>
  <c r="O66" i="2"/>
  <c r="K66" i="2"/>
  <c r="G66" i="2"/>
  <c r="G102" i="3"/>
  <c r="G30" i="3"/>
  <c r="J30" i="3" s="1"/>
  <c r="E66" i="2"/>
  <c r="D66" i="2"/>
  <c r="F66" i="2"/>
  <c r="H66" i="2"/>
  <c r="M66" i="2"/>
  <c r="AD173" i="2"/>
  <c r="E181" i="2"/>
  <c r="E176" i="2"/>
  <c r="J100" i="3"/>
  <c r="H181" i="2"/>
  <c r="H176" i="2"/>
  <c r="O181" i="2"/>
  <c r="O176" i="2"/>
  <c r="P181" i="2"/>
  <c r="P176" i="2"/>
  <c r="K181" i="2"/>
  <c r="K176" i="2"/>
  <c r="Q181" i="2"/>
  <c r="Q176" i="2"/>
  <c r="I176" i="2"/>
  <c r="I181" i="2"/>
  <c r="B86" i="3"/>
  <c r="B85" i="3"/>
  <c r="F96" i="3"/>
  <c r="F98" i="3" s="1"/>
  <c r="I62" i="3"/>
  <c r="I64" i="3" s="1"/>
  <c r="E15" i="2" s="1"/>
  <c r="I9" i="8" s="1"/>
  <c r="I76" i="5"/>
  <c r="H78" i="5"/>
  <c r="F41" i="2" s="1"/>
  <c r="F42" i="2" s="1"/>
  <c r="Q141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D141" i="2"/>
  <c r="C141" i="2"/>
  <c r="D12" i="4"/>
  <c r="J70" i="3"/>
  <c r="J61" i="3"/>
  <c r="C117" i="2"/>
  <c r="C118" i="2" s="1"/>
  <c r="AD116" i="2"/>
  <c r="D117" i="2"/>
  <c r="D118" i="2" s="1"/>
  <c r="E117" i="2"/>
  <c r="E118" i="2" s="1"/>
  <c r="F117" i="2"/>
  <c r="F118" i="2" s="1"/>
  <c r="G117" i="2"/>
  <c r="G118" i="2" s="1"/>
  <c r="H117" i="2"/>
  <c r="H118" i="2" s="1"/>
  <c r="I117" i="2"/>
  <c r="I118" i="2" s="1"/>
  <c r="J117" i="2"/>
  <c r="J118" i="2" s="1"/>
  <c r="K117" i="2"/>
  <c r="K118" i="2" s="1"/>
  <c r="M117" i="2"/>
  <c r="M118" i="2" s="1"/>
  <c r="O117" i="2"/>
  <c r="O118" i="2" s="1"/>
  <c r="L117" i="2"/>
  <c r="L118" i="2" s="1"/>
  <c r="N117" i="2"/>
  <c r="N118" i="2" s="1"/>
  <c r="P117" i="2"/>
  <c r="P118" i="2" s="1"/>
  <c r="Q117" i="2"/>
  <c r="Q118" i="2" s="1"/>
  <c r="AD143" i="2"/>
  <c r="D144" i="2"/>
  <c r="E144" i="2"/>
  <c r="F144" i="2"/>
  <c r="G144" i="2"/>
  <c r="H144" i="2"/>
  <c r="I144" i="2"/>
  <c r="J144" i="2"/>
  <c r="K144" i="2"/>
  <c r="L144" i="2"/>
  <c r="M144" i="2"/>
  <c r="N144" i="2"/>
  <c r="O144" i="2"/>
  <c r="P144" i="2"/>
  <c r="Q144" i="2"/>
  <c r="D83" i="3"/>
  <c r="D68" i="3"/>
  <c r="M22" i="2"/>
  <c r="I41" i="8" s="1"/>
  <c r="G66" i="3"/>
  <c r="G69" i="3" s="1"/>
  <c r="I66" i="3"/>
  <c r="I69" i="3" s="1"/>
  <c r="AD60" i="2"/>
  <c r="E61" i="2"/>
  <c r="D61" i="2"/>
  <c r="F61" i="2"/>
  <c r="G61" i="2"/>
  <c r="H61" i="2"/>
  <c r="I61" i="2"/>
  <c r="J61" i="2"/>
  <c r="K61" i="2"/>
  <c r="L61" i="2"/>
  <c r="M61" i="2"/>
  <c r="N61" i="2"/>
  <c r="O61" i="2"/>
  <c r="P61" i="2"/>
  <c r="Q61" i="2"/>
  <c r="AD122" i="2"/>
  <c r="M13" i="2" s="1"/>
  <c r="I32" i="8" s="1"/>
  <c r="E42" i="2"/>
  <c r="G62" i="3"/>
  <c r="J103" i="3" l="1"/>
  <c r="C169" i="2"/>
  <c r="K9" i="8"/>
  <c r="G43" i="3"/>
  <c r="D26" i="3"/>
  <c r="D28" i="3" s="1"/>
  <c r="D32" i="3" s="1"/>
  <c r="D33" i="3"/>
  <c r="J22" i="3"/>
  <c r="J34" i="3" s="1"/>
  <c r="V176" i="2"/>
  <c r="V181" i="2"/>
  <c r="AA176" i="2"/>
  <c r="AA181" i="2"/>
  <c r="AB64" i="2"/>
  <c r="AB69" i="2"/>
  <c r="AB68" i="2"/>
  <c r="AB70" i="2" s="1"/>
  <c r="S148" i="2"/>
  <c r="S153" i="2"/>
  <c r="AB176" i="2"/>
  <c r="AB181" i="2"/>
  <c r="T148" i="2"/>
  <c r="T153" i="2"/>
  <c r="V148" i="2"/>
  <c r="V153" i="2"/>
  <c r="T176" i="2"/>
  <c r="T181" i="2"/>
  <c r="S176" i="2"/>
  <c r="S181" i="2"/>
  <c r="Z176" i="2"/>
  <c r="Z181" i="2"/>
  <c r="R148" i="2"/>
  <c r="R153" i="2"/>
  <c r="X148" i="2"/>
  <c r="X153" i="2"/>
  <c r="AB120" i="2"/>
  <c r="AB125" i="2"/>
  <c r="AB124" i="2"/>
  <c r="AB126" i="2" s="1"/>
  <c r="U64" i="2"/>
  <c r="U69" i="2"/>
  <c r="U68" i="2"/>
  <c r="U70" i="2" s="1"/>
  <c r="W120" i="2"/>
  <c r="W125" i="2"/>
  <c r="W124" i="2"/>
  <c r="W126" i="2" s="1"/>
  <c r="R64" i="2"/>
  <c r="R68" i="2"/>
  <c r="R70" i="2" s="1"/>
  <c r="R69" i="2"/>
  <c r="Y64" i="2"/>
  <c r="Y68" i="2"/>
  <c r="Y70" i="2" s="1"/>
  <c r="Y69" i="2"/>
  <c r="T120" i="2"/>
  <c r="T124" i="2"/>
  <c r="T126" i="2" s="1"/>
  <c r="T125" i="2"/>
  <c r="Z148" i="2"/>
  <c r="Z153" i="2"/>
  <c r="S120" i="2"/>
  <c r="S124" i="2"/>
  <c r="S126" i="2" s="1"/>
  <c r="S125" i="2"/>
  <c r="V120" i="2"/>
  <c r="V124" i="2"/>
  <c r="V126" i="2" s="1"/>
  <c r="V125" i="2"/>
  <c r="AA148" i="2"/>
  <c r="AA153" i="2"/>
  <c r="X169" i="2"/>
  <c r="AA169" i="2"/>
  <c r="W169" i="2"/>
  <c r="Z169" i="2"/>
  <c r="V169" i="2"/>
  <c r="T169" i="2"/>
  <c r="AB169" i="2"/>
  <c r="U169" i="2"/>
  <c r="Y169" i="2"/>
  <c r="R169" i="2"/>
  <c r="S169" i="2"/>
  <c r="Z120" i="2"/>
  <c r="Z125" i="2"/>
  <c r="Z124" i="2"/>
  <c r="Z126" i="2" s="1"/>
  <c r="X64" i="2"/>
  <c r="X69" i="2"/>
  <c r="X68" i="2"/>
  <c r="X70" i="2" s="1"/>
  <c r="W148" i="2"/>
  <c r="W153" i="2"/>
  <c r="D86" i="3"/>
  <c r="AB178" i="2"/>
  <c r="R178" i="2"/>
  <c r="V150" i="2"/>
  <c r="V152" i="2" s="1"/>
  <c r="V154" i="2" s="1"/>
  <c r="R150" i="2"/>
  <c r="R152" i="2" s="1"/>
  <c r="R154" i="2" s="1"/>
  <c r="Z178" i="2"/>
  <c r="S178" i="2"/>
  <c r="W178" i="2"/>
  <c r="AA178" i="2"/>
  <c r="AA150" i="2"/>
  <c r="AA152" i="2" s="1"/>
  <c r="AA154" i="2" s="1"/>
  <c r="S150" i="2"/>
  <c r="S152" i="2" s="1"/>
  <c r="S154" i="2" s="1"/>
  <c r="AB150" i="2"/>
  <c r="AB152" i="2" s="1"/>
  <c r="AB154" i="2" s="1"/>
  <c r="X150" i="2"/>
  <c r="X152" i="2" s="1"/>
  <c r="X154" i="2" s="1"/>
  <c r="U178" i="2"/>
  <c r="X178" i="2"/>
  <c r="Y178" i="2"/>
  <c r="T178" i="2"/>
  <c r="V178" i="2"/>
  <c r="W150" i="2"/>
  <c r="W152" i="2" s="1"/>
  <c r="W154" i="2" s="1"/>
  <c r="Y150" i="2"/>
  <c r="Y152" i="2" s="1"/>
  <c r="Y154" i="2" s="1"/>
  <c r="U150" i="2"/>
  <c r="U152" i="2" s="1"/>
  <c r="U154" i="2" s="1"/>
  <c r="Z150" i="2"/>
  <c r="Z152" i="2" s="1"/>
  <c r="Z154" i="2" s="1"/>
  <c r="T150" i="2"/>
  <c r="T152" i="2" s="1"/>
  <c r="T154" i="2" s="1"/>
  <c r="X120" i="2"/>
  <c r="X125" i="2"/>
  <c r="X124" i="2"/>
  <c r="X126" i="2" s="1"/>
  <c r="U148" i="2"/>
  <c r="U153" i="2"/>
  <c r="I25" i="3"/>
  <c r="I26" i="3" s="1"/>
  <c r="I28" i="3" s="1"/>
  <c r="G25" i="3"/>
  <c r="G33" i="3" s="1"/>
  <c r="D169" i="2"/>
  <c r="D180" i="2" s="1"/>
  <c r="D182" i="2" s="1"/>
  <c r="P169" i="2"/>
  <c r="P180" i="2" s="1"/>
  <c r="H169" i="2"/>
  <c r="H180" i="2" s="1"/>
  <c r="O169" i="2"/>
  <c r="O180" i="2" s="1"/>
  <c r="G169" i="2"/>
  <c r="G180" i="2" s="1"/>
  <c r="N169" i="2"/>
  <c r="N180" i="2" s="1"/>
  <c r="F169" i="2"/>
  <c r="F180" i="2" s="1"/>
  <c r="F182" i="2" s="1"/>
  <c r="M169" i="2"/>
  <c r="M180" i="2" s="1"/>
  <c r="L169" i="2"/>
  <c r="L180" i="2" s="1"/>
  <c r="K169" i="2"/>
  <c r="K180" i="2" s="1"/>
  <c r="J169" i="2"/>
  <c r="J180" i="2" s="1"/>
  <c r="Q169" i="2"/>
  <c r="Q180" i="2" s="1"/>
  <c r="I169" i="2"/>
  <c r="I180" i="2" s="1"/>
  <c r="E169" i="2"/>
  <c r="E180" i="2" s="1"/>
  <c r="E182" i="2" s="1"/>
  <c r="I43" i="3"/>
  <c r="AD79" i="2"/>
  <c r="D44" i="3"/>
  <c r="D46" i="3" s="1"/>
  <c r="J43" i="3"/>
  <c r="J40" i="3"/>
  <c r="J52" i="3" s="1"/>
  <c r="G44" i="3"/>
  <c r="G46" i="3" s="1"/>
  <c r="I62" i="2"/>
  <c r="I63" i="2" s="1"/>
  <c r="I65" i="2" s="1"/>
  <c r="I73" i="2"/>
  <c r="K62" i="2"/>
  <c r="K63" i="2" s="1"/>
  <c r="K65" i="2" s="1"/>
  <c r="K73" i="2"/>
  <c r="P62" i="2"/>
  <c r="P63" i="2" s="1"/>
  <c r="P65" i="2" s="1"/>
  <c r="P73" i="2"/>
  <c r="H62" i="2"/>
  <c r="H63" i="2" s="1"/>
  <c r="H65" i="2" s="1"/>
  <c r="H73" i="2"/>
  <c r="J62" i="2"/>
  <c r="J63" i="2" s="1"/>
  <c r="J65" i="2" s="1"/>
  <c r="J73" i="2"/>
  <c r="Q62" i="2"/>
  <c r="Q73" i="2"/>
  <c r="G62" i="2"/>
  <c r="G63" i="2" s="1"/>
  <c r="G73" i="2"/>
  <c r="N62" i="2"/>
  <c r="N63" i="2" s="1"/>
  <c r="N65" i="2" s="1"/>
  <c r="N73" i="2"/>
  <c r="F62" i="2"/>
  <c r="F63" i="2" s="1"/>
  <c r="F65" i="2" s="1"/>
  <c r="F69" i="2" s="1"/>
  <c r="F73" i="2"/>
  <c r="O62" i="2"/>
  <c r="O63" i="2" s="1"/>
  <c r="O65" i="2" s="1"/>
  <c r="O73" i="2"/>
  <c r="M62" i="2"/>
  <c r="M63" i="2" s="1"/>
  <c r="M65" i="2" s="1"/>
  <c r="M73" i="2"/>
  <c r="D62" i="2"/>
  <c r="D63" i="2" s="1"/>
  <c r="D65" i="2" s="1"/>
  <c r="D69" i="2" s="1"/>
  <c r="D73" i="2"/>
  <c r="L62" i="2"/>
  <c r="L63" i="2" s="1"/>
  <c r="L65" i="2" s="1"/>
  <c r="L73" i="2"/>
  <c r="E62" i="2"/>
  <c r="E63" i="2" s="1"/>
  <c r="E65" i="2" s="1"/>
  <c r="E64" i="2" s="1"/>
  <c r="E73" i="2"/>
  <c r="F79" i="3"/>
  <c r="G81" i="3"/>
  <c r="E12" i="4"/>
  <c r="AD66" i="2"/>
  <c r="P13" i="2" s="1"/>
  <c r="L32" i="8" s="1"/>
  <c r="F102" i="3"/>
  <c r="AD174" i="2"/>
  <c r="C175" i="2"/>
  <c r="J62" i="3"/>
  <c r="J64" i="3" s="1"/>
  <c r="M19" i="2" s="1"/>
  <c r="I38" i="8" s="1"/>
  <c r="H119" i="2"/>
  <c r="H121" i="2" s="1"/>
  <c r="AD141" i="2"/>
  <c r="N9" i="2" s="1"/>
  <c r="J28" i="8" s="1"/>
  <c r="D119" i="2"/>
  <c r="D121" i="2" s="1"/>
  <c r="J76" i="5"/>
  <c r="I78" i="5"/>
  <c r="G41" i="2" s="1"/>
  <c r="D14" i="4"/>
  <c r="J12" i="4" s="1"/>
  <c r="D15" i="4"/>
  <c r="J13" i="4" s="1"/>
  <c r="D16" i="4"/>
  <c r="J14" i="4" s="1"/>
  <c r="D17" i="4"/>
  <c r="J15" i="4" s="1"/>
  <c r="E113" i="2"/>
  <c r="D113" i="2"/>
  <c r="C113" i="2"/>
  <c r="Q113" i="2"/>
  <c r="P113" i="2"/>
  <c r="N113" i="2"/>
  <c r="O113" i="2"/>
  <c r="L113" i="2"/>
  <c r="M113" i="2"/>
  <c r="K113" i="2"/>
  <c r="J113" i="2"/>
  <c r="I113" i="2"/>
  <c r="H113" i="2"/>
  <c r="G113" i="2"/>
  <c r="F113" i="2"/>
  <c r="C12" i="4"/>
  <c r="C145" i="2"/>
  <c r="C146" i="2" s="1"/>
  <c r="AD144" i="2"/>
  <c r="D145" i="2"/>
  <c r="D146" i="2" s="1"/>
  <c r="E145" i="2"/>
  <c r="E146" i="2" s="1"/>
  <c r="F145" i="2"/>
  <c r="F146" i="2" s="1"/>
  <c r="G145" i="2"/>
  <c r="G146" i="2" s="1"/>
  <c r="H145" i="2"/>
  <c r="H146" i="2" s="1"/>
  <c r="I145" i="2"/>
  <c r="I146" i="2" s="1"/>
  <c r="J145" i="2"/>
  <c r="J146" i="2" s="1"/>
  <c r="K145" i="2"/>
  <c r="K146" i="2" s="1"/>
  <c r="L145" i="2"/>
  <c r="L146" i="2" s="1"/>
  <c r="M145" i="2"/>
  <c r="M146" i="2" s="1"/>
  <c r="M147" i="2" s="1"/>
  <c r="M149" i="2" s="1"/>
  <c r="N145" i="2"/>
  <c r="N146" i="2" s="1"/>
  <c r="O145" i="2"/>
  <c r="O146" i="2" s="1"/>
  <c r="P145" i="2"/>
  <c r="P146" i="2" s="1"/>
  <c r="Q145" i="2"/>
  <c r="Q146" i="2" s="1"/>
  <c r="N22" i="2"/>
  <c r="J41" i="8" s="1"/>
  <c r="D85" i="3"/>
  <c r="Q150" i="2"/>
  <c r="P150" i="2"/>
  <c r="O150" i="2"/>
  <c r="N150" i="2"/>
  <c r="M150" i="2"/>
  <c r="L150" i="2"/>
  <c r="K150" i="2"/>
  <c r="J150" i="2"/>
  <c r="I150" i="2"/>
  <c r="H150" i="2"/>
  <c r="G150" i="2"/>
  <c r="F150" i="2"/>
  <c r="E150" i="2"/>
  <c r="D150" i="2"/>
  <c r="C150" i="2"/>
  <c r="G83" i="3"/>
  <c r="I83" i="3"/>
  <c r="I86" i="3" s="1"/>
  <c r="AD117" i="2"/>
  <c r="AD61" i="2"/>
  <c r="C119" i="2"/>
  <c r="C121" i="2" s="1"/>
  <c r="C125" i="2" s="1"/>
  <c r="AD118" i="2"/>
  <c r="E119" i="2"/>
  <c r="E121" i="2" s="1"/>
  <c r="I119" i="2"/>
  <c r="I121" i="2" s="1"/>
  <c r="J119" i="2"/>
  <c r="J121" i="2" s="1"/>
  <c r="K119" i="2"/>
  <c r="K121" i="2" s="1"/>
  <c r="M119" i="2"/>
  <c r="M121" i="2" s="1"/>
  <c r="L119" i="2"/>
  <c r="L121" i="2" s="1"/>
  <c r="N119" i="2"/>
  <c r="N121" i="2" s="1"/>
  <c r="P119" i="2"/>
  <c r="P121" i="2" s="1"/>
  <c r="Q119" i="2"/>
  <c r="Q121" i="2" s="1"/>
  <c r="J66" i="3"/>
  <c r="I68" i="3"/>
  <c r="C63" i="2"/>
  <c r="C65" i="2" s="1"/>
  <c r="C64" i="2" s="1"/>
  <c r="G64" i="3"/>
  <c r="F62" i="3"/>
  <c r="F119" i="2"/>
  <c r="F121" i="2" s="1"/>
  <c r="G119" i="2"/>
  <c r="G121" i="2" s="1"/>
  <c r="O119" i="2"/>
  <c r="O121" i="2" s="1"/>
  <c r="Q63" i="2"/>
  <c r="Q65" i="2" s="1"/>
  <c r="G26" i="3" l="1"/>
  <c r="G28" i="3" s="1"/>
  <c r="G32" i="3" s="1"/>
  <c r="I44" i="3"/>
  <c r="I46" i="3" s="1"/>
  <c r="D15" i="2" s="1"/>
  <c r="M9" i="8" s="1"/>
  <c r="I32" i="3"/>
  <c r="I33" i="3"/>
  <c r="J25" i="3"/>
  <c r="J33" i="3" s="1"/>
  <c r="AB180" i="2"/>
  <c r="AB182" i="2" s="1"/>
  <c r="W180" i="2"/>
  <c r="W182" i="2" s="1"/>
  <c r="R180" i="2"/>
  <c r="R182" i="2" s="1"/>
  <c r="AA180" i="2"/>
  <c r="AA182" i="2" s="1"/>
  <c r="Y180" i="2"/>
  <c r="Y182" i="2" s="1"/>
  <c r="X180" i="2"/>
  <c r="X182" i="2" s="1"/>
  <c r="S180" i="2"/>
  <c r="S182" i="2" s="1"/>
  <c r="U180" i="2"/>
  <c r="U182" i="2" s="1"/>
  <c r="AD178" i="2"/>
  <c r="O13" i="2" s="1"/>
  <c r="K32" i="8" s="1"/>
  <c r="T180" i="2"/>
  <c r="T182" i="2" s="1"/>
  <c r="V180" i="2"/>
  <c r="V182" i="2" s="1"/>
  <c r="Z180" i="2"/>
  <c r="Z182" i="2" s="1"/>
  <c r="F64" i="3"/>
  <c r="E97" i="2"/>
  <c r="H97" i="2"/>
  <c r="F64" i="2"/>
  <c r="Q97" i="2"/>
  <c r="D64" i="2"/>
  <c r="AD88" i="2"/>
  <c r="AD86" i="2"/>
  <c r="Q10" i="2" s="1"/>
  <c r="M29" i="8" s="1"/>
  <c r="F44" i="3"/>
  <c r="F46" i="3" s="1"/>
  <c r="J44" i="3"/>
  <c r="J46" i="3" s="1"/>
  <c r="J97" i="2"/>
  <c r="D20" i="2"/>
  <c r="AD75" i="2"/>
  <c r="K97" i="2"/>
  <c r="AD80" i="2"/>
  <c r="Q4" i="2" s="1"/>
  <c r="AD73" i="2"/>
  <c r="E69" i="2"/>
  <c r="AD90" i="2"/>
  <c r="L97" i="2"/>
  <c r="AD91" i="2"/>
  <c r="AD94" i="2"/>
  <c r="Q13" i="2" s="1"/>
  <c r="M32" i="8" s="1"/>
  <c r="M97" i="2"/>
  <c r="O97" i="2"/>
  <c r="G97" i="2"/>
  <c r="AD89" i="2"/>
  <c r="AD93" i="2"/>
  <c r="Q12" i="2" s="1"/>
  <c r="M31" i="8" s="1"/>
  <c r="N97" i="2"/>
  <c r="AD95" i="2"/>
  <c r="Q14" i="2" s="1"/>
  <c r="M33" i="8" s="1"/>
  <c r="P97" i="2"/>
  <c r="I97" i="2"/>
  <c r="AD87" i="2"/>
  <c r="AD92" i="2"/>
  <c r="AD62" i="2"/>
  <c r="G65" i="2"/>
  <c r="G69" i="2" s="1"/>
  <c r="AD84" i="2"/>
  <c r="Q8" i="2" s="1"/>
  <c r="F97" i="2"/>
  <c r="AD169" i="2"/>
  <c r="O9" i="2" s="1"/>
  <c r="K28" i="8" s="1"/>
  <c r="F81" i="3"/>
  <c r="E14" i="4"/>
  <c r="K12" i="4" s="1"/>
  <c r="E15" i="4"/>
  <c r="K13" i="4" s="1"/>
  <c r="E16" i="4"/>
  <c r="K14" i="4" s="1"/>
  <c r="E17" i="4"/>
  <c r="K15" i="4" s="1"/>
  <c r="AD175" i="2"/>
  <c r="C177" i="2"/>
  <c r="C181" i="2" s="1"/>
  <c r="G85" i="3"/>
  <c r="G86" i="3"/>
  <c r="H125" i="2"/>
  <c r="H120" i="2"/>
  <c r="G68" i="3"/>
  <c r="Q147" i="2"/>
  <c r="Q149" i="2" s="1"/>
  <c r="H124" i="2"/>
  <c r="D124" i="2"/>
  <c r="D126" i="2" s="1"/>
  <c r="D125" i="2"/>
  <c r="D120" i="2"/>
  <c r="N69" i="2"/>
  <c r="N64" i="2"/>
  <c r="J68" i="3"/>
  <c r="J69" i="3"/>
  <c r="J102" i="3" s="1"/>
  <c r="O19" i="2" s="1"/>
  <c r="K38" i="8" s="1"/>
  <c r="K76" i="5"/>
  <c r="J78" i="5"/>
  <c r="H41" i="2" s="1"/>
  <c r="H42" i="2" s="1"/>
  <c r="H182" i="2" s="1"/>
  <c r="G42" i="2"/>
  <c r="G182" i="2" s="1"/>
  <c r="C14" i="4"/>
  <c r="I12" i="4" s="1"/>
  <c r="C15" i="4"/>
  <c r="I13" i="4" s="1"/>
  <c r="C16" i="4"/>
  <c r="I14" i="4" s="1"/>
  <c r="C17" i="4"/>
  <c r="I15" i="4" s="1"/>
  <c r="M153" i="2"/>
  <c r="M148" i="2"/>
  <c r="M152" i="2"/>
  <c r="J83" i="3"/>
  <c r="J86" i="3" s="1"/>
  <c r="I85" i="3"/>
  <c r="C124" i="2"/>
  <c r="C120" i="2"/>
  <c r="AD121" i="2"/>
  <c r="M12" i="2" s="1"/>
  <c r="I31" i="8" s="1"/>
  <c r="E124" i="2"/>
  <c r="E126" i="2" s="1"/>
  <c r="E120" i="2"/>
  <c r="E125" i="2"/>
  <c r="I124" i="2"/>
  <c r="I120" i="2"/>
  <c r="I125" i="2"/>
  <c r="J124" i="2"/>
  <c r="J120" i="2"/>
  <c r="J125" i="2"/>
  <c r="K124" i="2"/>
  <c r="K120" i="2"/>
  <c r="K125" i="2"/>
  <c r="M124" i="2"/>
  <c r="M120" i="2"/>
  <c r="M125" i="2"/>
  <c r="L124" i="2"/>
  <c r="L120" i="2"/>
  <c r="L125" i="2"/>
  <c r="N124" i="2"/>
  <c r="N120" i="2"/>
  <c r="N125" i="2"/>
  <c r="P124" i="2"/>
  <c r="P120" i="2"/>
  <c r="P125" i="2"/>
  <c r="Q124" i="2"/>
  <c r="Q120" i="2"/>
  <c r="Q125" i="2"/>
  <c r="C69" i="2"/>
  <c r="H64" i="2"/>
  <c r="H69" i="2"/>
  <c r="I64" i="2"/>
  <c r="I69" i="2"/>
  <c r="J64" i="2"/>
  <c r="J69" i="2"/>
  <c r="K64" i="2"/>
  <c r="K69" i="2"/>
  <c r="F124" i="2"/>
  <c r="F126" i="2" s="1"/>
  <c r="F120" i="2"/>
  <c r="F125" i="2"/>
  <c r="G124" i="2"/>
  <c r="G120" i="2"/>
  <c r="G125" i="2"/>
  <c r="O124" i="2"/>
  <c r="O120" i="2"/>
  <c r="O125" i="2"/>
  <c r="L64" i="2"/>
  <c r="L69" i="2"/>
  <c r="M64" i="2"/>
  <c r="M69" i="2"/>
  <c r="O64" i="2"/>
  <c r="O69" i="2"/>
  <c r="P64" i="2"/>
  <c r="P69" i="2"/>
  <c r="Q64" i="2"/>
  <c r="Q69" i="2"/>
  <c r="AD113" i="2"/>
  <c r="M9" i="2" s="1"/>
  <c r="I28" i="8" s="1"/>
  <c r="AD145" i="2"/>
  <c r="AD150" i="2"/>
  <c r="N13" i="2" s="1"/>
  <c r="J32" i="8" s="1"/>
  <c r="AD119" i="2"/>
  <c r="AD63" i="2"/>
  <c r="C147" i="2"/>
  <c r="C149" i="2" s="1"/>
  <c r="AD146" i="2"/>
  <c r="D147" i="2"/>
  <c r="D149" i="2" s="1"/>
  <c r="E147" i="2"/>
  <c r="E149" i="2" s="1"/>
  <c r="F147" i="2"/>
  <c r="F149" i="2" s="1"/>
  <c r="G147" i="2"/>
  <c r="G149" i="2" s="1"/>
  <c r="H147" i="2"/>
  <c r="H149" i="2" s="1"/>
  <c r="I147" i="2"/>
  <c r="I149" i="2" s="1"/>
  <c r="J147" i="2"/>
  <c r="J149" i="2" s="1"/>
  <c r="K147" i="2"/>
  <c r="K149" i="2" s="1"/>
  <c r="L147" i="2"/>
  <c r="L149" i="2" s="1"/>
  <c r="N147" i="2"/>
  <c r="N149" i="2" s="1"/>
  <c r="O147" i="2"/>
  <c r="O149" i="2" s="1"/>
  <c r="P147" i="2"/>
  <c r="P149" i="2" s="1"/>
  <c r="F26" i="3" l="1"/>
  <c r="F28" i="3" s="1"/>
  <c r="F32" i="3" s="1"/>
  <c r="B48" i="3"/>
  <c r="B50" i="3" s="1"/>
  <c r="M14" i="8"/>
  <c r="D85" i="2"/>
  <c r="D96" i="2" s="1"/>
  <c r="D98" i="2" s="1"/>
  <c r="C85" i="2"/>
  <c r="C96" i="2" s="1"/>
  <c r="C98" i="2" s="1"/>
  <c r="C15" i="2"/>
  <c r="J26" i="3"/>
  <c r="J28" i="3" s="1"/>
  <c r="F68" i="3"/>
  <c r="M85" i="2"/>
  <c r="M96" i="2" s="1"/>
  <c r="E85" i="2"/>
  <c r="E96" i="2" s="1"/>
  <c r="E98" i="2" s="1"/>
  <c r="O85" i="2"/>
  <c r="O96" i="2" s="1"/>
  <c r="L85" i="2"/>
  <c r="L96" i="2" s="1"/>
  <c r="K85" i="2"/>
  <c r="K96" i="2" s="1"/>
  <c r="J85" i="2"/>
  <c r="J96" i="2" s="1"/>
  <c r="G85" i="2"/>
  <c r="G96" i="2" s="1"/>
  <c r="G98" i="2" s="1"/>
  <c r="N85" i="2"/>
  <c r="N96" i="2" s="1"/>
  <c r="Q85" i="2"/>
  <c r="Q96" i="2" s="1"/>
  <c r="I85" i="2"/>
  <c r="I96" i="2" s="1"/>
  <c r="H85" i="2"/>
  <c r="H96" i="2" s="1"/>
  <c r="H98" i="2" s="1"/>
  <c r="F85" i="2"/>
  <c r="F96" i="2" s="1"/>
  <c r="F98" i="2" s="1"/>
  <c r="P85" i="2"/>
  <c r="P96" i="2" s="1"/>
  <c r="AD65" i="2"/>
  <c r="P12" i="2" s="1"/>
  <c r="L31" i="8" s="1"/>
  <c r="Q19" i="2"/>
  <c r="M38" i="8" s="1"/>
  <c r="G64" i="2"/>
  <c r="AD64" i="2" s="1"/>
  <c r="D97" i="2"/>
  <c r="AD81" i="2"/>
  <c r="Q5" i="2" s="1"/>
  <c r="M24" i="8" s="1"/>
  <c r="F85" i="3"/>
  <c r="C176" i="2"/>
  <c r="AD176" i="2" s="1"/>
  <c r="AD177" i="2"/>
  <c r="O12" i="2" s="1"/>
  <c r="C180" i="2"/>
  <c r="C182" i="2" s="1"/>
  <c r="Q153" i="2"/>
  <c r="Q148" i="2"/>
  <c r="Q152" i="2"/>
  <c r="M15" i="2"/>
  <c r="I34" i="8" s="1"/>
  <c r="L76" i="5"/>
  <c r="K78" i="5"/>
  <c r="I41" i="2" s="1"/>
  <c r="H126" i="2"/>
  <c r="G126" i="2"/>
  <c r="J85" i="3"/>
  <c r="N19" i="2" s="1"/>
  <c r="J38" i="8" s="1"/>
  <c r="E57" i="2"/>
  <c r="E68" i="2" s="1"/>
  <c r="E70" i="2" s="1"/>
  <c r="M57" i="2"/>
  <c r="M68" i="2" s="1"/>
  <c r="O57" i="2"/>
  <c r="O68" i="2" s="1"/>
  <c r="I57" i="2"/>
  <c r="I68" i="2" s="1"/>
  <c r="L57" i="2"/>
  <c r="L68" i="2" s="1"/>
  <c r="K57" i="2"/>
  <c r="K68" i="2" s="1"/>
  <c r="J57" i="2"/>
  <c r="J68" i="2" s="1"/>
  <c r="N57" i="2"/>
  <c r="N68" i="2" s="1"/>
  <c r="P57" i="2"/>
  <c r="P68" i="2" s="1"/>
  <c r="C126" i="2"/>
  <c r="AD124" i="2"/>
  <c r="C152" i="2"/>
  <c r="C154" i="2" s="1"/>
  <c r="C148" i="2"/>
  <c r="AD149" i="2"/>
  <c r="N12" i="2" s="1"/>
  <c r="C153" i="2"/>
  <c r="D152" i="2"/>
  <c r="D154" i="2" s="1"/>
  <c r="D148" i="2"/>
  <c r="D153" i="2"/>
  <c r="E152" i="2"/>
  <c r="E154" i="2" s="1"/>
  <c r="E148" i="2"/>
  <c r="E153" i="2"/>
  <c r="F152" i="2"/>
  <c r="F154" i="2" s="1"/>
  <c r="F148" i="2"/>
  <c r="F153" i="2"/>
  <c r="G152" i="2"/>
  <c r="G154" i="2" s="1"/>
  <c r="G148" i="2"/>
  <c r="G153" i="2"/>
  <c r="H152" i="2"/>
  <c r="H154" i="2" s="1"/>
  <c r="H148" i="2"/>
  <c r="H153" i="2"/>
  <c r="I152" i="2"/>
  <c r="I148" i="2"/>
  <c r="I153" i="2"/>
  <c r="J152" i="2"/>
  <c r="J148" i="2"/>
  <c r="J153" i="2"/>
  <c r="K152" i="2"/>
  <c r="K148" i="2"/>
  <c r="K153" i="2"/>
  <c r="L152" i="2"/>
  <c r="L148" i="2"/>
  <c r="L153" i="2"/>
  <c r="N152" i="2"/>
  <c r="N148" i="2"/>
  <c r="N153" i="2"/>
  <c r="O152" i="2"/>
  <c r="O148" i="2"/>
  <c r="O153" i="2"/>
  <c r="P152" i="2"/>
  <c r="P148" i="2"/>
  <c r="P153" i="2"/>
  <c r="AD120" i="2"/>
  <c r="AD147" i="2"/>
  <c r="B51" i="3" l="1"/>
  <c r="D48" i="3"/>
  <c r="Q22" i="2" s="1"/>
  <c r="M41" i="8" s="1"/>
  <c r="H57" i="2"/>
  <c r="H68" i="2" s="1"/>
  <c r="H70" i="2" s="1"/>
  <c r="D57" i="2"/>
  <c r="D68" i="2" s="1"/>
  <c r="D70" i="2" s="1"/>
  <c r="F57" i="2"/>
  <c r="F68" i="2" s="1"/>
  <c r="F70" i="2" s="1"/>
  <c r="Q57" i="2"/>
  <c r="Q68" i="2" s="1"/>
  <c r="G57" i="2"/>
  <c r="G68" i="2" s="1"/>
  <c r="G70" i="2" s="1"/>
  <c r="B12" i="4"/>
  <c r="C57" i="2"/>
  <c r="L9" i="8"/>
  <c r="J32" i="3"/>
  <c r="P19" i="2"/>
  <c r="L38" i="8" s="1"/>
  <c r="K31" i="8"/>
  <c r="O15" i="2"/>
  <c r="N15" i="2"/>
  <c r="J34" i="8" s="1"/>
  <c r="J31" i="8"/>
  <c r="D51" i="3"/>
  <c r="G48" i="3"/>
  <c r="G51" i="3" s="1"/>
  <c r="AD85" i="2"/>
  <c r="Q9" i="2" s="1"/>
  <c r="AD96" i="2"/>
  <c r="AD180" i="2"/>
  <c r="M16" i="2"/>
  <c r="I35" i="8" s="1"/>
  <c r="M17" i="2"/>
  <c r="I36" i="8" s="1"/>
  <c r="M20" i="2"/>
  <c r="I39" i="8" s="1"/>
  <c r="M76" i="5"/>
  <c r="L78" i="5"/>
  <c r="J41" i="2" s="1"/>
  <c r="I42" i="2"/>
  <c r="I182" i="2" s="1"/>
  <c r="AD152" i="2"/>
  <c r="N17" i="2"/>
  <c r="J36" i="8" s="1"/>
  <c r="N20" i="2"/>
  <c r="J39" i="8" s="1"/>
  <c r="AD148" i="2"/>
  <c r="I48" i="3" l="1"/>
  <c r="I51" i="3" s="1"/>
  <c r="N16" i="2"/>
  <c r="J35" i="8" s="1"/>
  <c r="D50" i="3"/>
  <c r="B16" i="4"/>
  <c r="H14" i="4" s="1"/>
  <c r="B14" i="4"/>
  <c r="H12" i="4" s="1"/>
  <c r="B15" i="4"/>
  <c r="H13" i="4" s="1"/>
  <c r="B17" i="4"/>
  <c r="H15" i="4" s="1"/>
  <c r="C68" i="2"/>
  <c r="C70" i="2" s="1"/>
  <c r="AD57" i="2"/>
  <c r="P9" i="2" s="1"/>
  <c r="L28" i="8" s="1"/>
  <c r="K34" i="8"/>
  <c r="O20" i="2"/>
  <c r="K39" i="8" s="1"/>
  <c r="O17" i="2"/>
  <c r="K36" i="8" s="1"/>
  <c r="O16" i="2"/>
  <c r="K35" i="8" s="1"/>
  <c r="Q15" i="2"/>
  <c r="M28" i="8"/>
  <c r="I98" i="2"/>
  <c r="J48" i="3"/>
  <c r="J51" i="3" s="1"/>
  <c r="G50" i="3"/>
  <c r="F50" i="3" s="1"/>
  <c r="I50" i="3"/>
  <c r="N76" i="5"/>
  <c r="M78" i="5"/>
  <c r="K41" i="2" s="1"/>
  <c r="I70" i="2"/>
  <c r="I126" i="2"/>
  <c r="I154" i="2"/>
  <c r="AD68" i="2"/>
  <c r="J42" i="2"/>
  <c r="P15" i="2" l="1"/>
  <c r="P16" i="2" s="1"/>
  <c r="L35" i="8" s="1"/>
  <c r="M34" i="8"/>
  <c r="Q20" i="2"/>
  <c r="M39" i="8" s="1"/>
  <c r="Q17" i="2"/>
  <c r="M36" i="8" s="1"/>
  <c r="Q16" i="2"/>
  <c r="M35" i="8" s="1"/>
  <c r="J182" i="2"/>
  <c r="J98" i="2"/>
  <c r="J50" i="3"/>
  <c r="O76" i="5"/>
  <c r="N78" i="5"/>
  <c r="L41" i="2" s="1"/>
  <c r="J154" i="2"/>
  <c r="J126" i="2"/>
  <c r="J70" i="2"/>
  <c r="K42" i="2"/>
  <c r="L34" i="8" l="1"/>
  <c r="P17" i="2"/>
  <c r="L36" i="8" s="1"/>
  <c r="P20" i="2"/>
  <c r="L39" i="8" s="1"/>
  <c r="K182" i="2"/>
  <c r="K98" i="2"/>
  <c r="P76" i="5"/>
  <c r="O78" i="5"/>
  <c r="M41" i="2" s="1"/>
  <c r="K154" i="2"/>
  <c r="K126" i="2"/>
  <c r="K70" i="2"/>
  <c r="L42" i="2"/>
  <c r="L182" i="2" l="1"/>
  <c r="L98" i="2"/>
  <c r="Q76" i="5"/>
  <c r="P78" i="5"/>
  <c r="N41" i="2" s="1"/>
  <c r="L154" i="2"/>
  <c r="L126" i="2"/>
  <c r="L70" i="2"/>
  <c r="M42" i="2"/>
  <c r="M182" i="2" l="1"/>
  <c r="M98" i="2"/>
  <c r="R76" i="5"/>
  <c r="Q78" i="5"/>
  <c r="O41" i="2" s="1"/>
  <c r="M154" i="2"/>
  <c r="M126" i="2"/>
  <c r="M70" i="2"/>
  <c r="N42" i="2"/>
  <c r="N182" i="2" l="1"/>
  <c r="N98" i="2"/>
  <c r="S76" i="5"/>
  <c r="R78" i="5"/>
  <c r="P41" i="2" s="1"/>
  <c r="N154" i="2"/>
  <c r="N126" i="2"/>
  <c r="N70" i="2"/>
  <c r="O42" i="2"/>
  <c r="O182" i="2" l="1"/>
  <c r="O98" i="2"/>
  <c r="T76" i="5"/>
  <c r="T78" i="5" s="1"/>
  <c r="S78" i="5"/>
  <c r="Q41" i="2" s="1"/>
  <c r="O154" i="2"/>
  <c r="O126" i="2"/>
  <c r="O70" i="2"/>
  <c r="P42" i="2"/>
  <c r="P182" i="2" l="1"/>
  <c r="P98" i="2"/>
  <c r="P154" i="2"/>
  <c r="P126" i="2"/>
  <c r="P70" i="2"/>
  <c r="Q42" i="2"/>
  <c r="Q98" i="2" s="1"/>
  <c r="AD41" i="2"/>
  <c r="L8" i="2" s="1"/>
  <c r="L15" i="2" l="1"/>
  <c r="H34" i="8" s="1"/>
  <c r="H27" i="8"/>
  <c r="AD42" i="2"/>
  <c r="Q182" i="2"/>
  <c r="AD182" i="2" s="1"/>
  <c r="Q154" i="2"/>
  <c r="AD154" i="2" s="1"/>
  <c r="Q126" i="2"/>
  <c r="AD126" i="2" s="1"/>
  <c r="Q70" i="2"/>
  <c r="L16" i="2" l="1"/>
  <c r="H35" i="8" s="1"/>
  <c r="L20" i="2"/>
  <c r="H39" i="8" s="1"/>
  <c r="L17" i="2"/>
  <c r="E13" i="4"/>
  <c r="H36" i="8"/>
  <c r="AD70" i="2"/>
  <c r="AD98" i="2"/>
  <c r="C13" i="4"/>
  <c r="B13" i="4"/>
  <c r="D13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<sst xmlns="http://schemas.openxmlformats.org/spreadsheetml/2006/main" count="864" uniqueCount="365">
  <si>
    <t>Verbruik G</t>
  </si>
  <si>
    <t>m3</t>
  </si>
  <si>
    <t>Totaal kosten over afschrijvingsperiode warmtepomp</t>
  </si>
  <si>
    <t>Verbruik E</t>
  </si>
  <si>
    <t>kWh</t>
  </si>
  <si>
    <t>Kosten elektriciteit gasketel voor een  tussenwoning</t>
  </si>
  <si>
    <t>Gasketel</t>
  </si>
  <si>
    <t>Bodem WP MWN</t>
  </si>
  <si>
    <t>Bodem WP Indi</t>
  </si>
  <si>
    <t>Lucht WP indi</t>
  </si>
  <si>
    <t>Besparing G Isolatie</t>
  </si>
  <si>
    <t>%</t>
  </si>
  <si>
    <t>gem. 300-1200 kWh</t>
  </si>
  <si>
    <t>Besparing G WP</t>
  </si>
  <si>
    <t>G/W kosten</t>
  </si>
  <si>
    <t>Start</t>
  </si>
  <si>
    <t>jr</t>
  </si>
  <si>
    <t>E kosten G/WP*</t>
  </si>
  <si>
    <t>Levensduur WP</t>
  </si>
  <si>
    <t>CV financiering</t>
  </si>
  <si>
    <t>kWh/jr</t>
  </si>
  <si>
    <t>CV onderhoud</t>
  </si>
  <si>
    <t>Prijs scenario</t>
  </si>
  <si>
    <t>Middel</t>
  </si>
  <si>
    <t>Vaste kosten G/W</t>
  </si>
  <si>
    <t>% spaargeld</t>
  </si>
  <si>
    <t>WP+ISO financiering</t>
  </si>
  <si>
    <t>WP onderhoud</t>
  </si>
  <si>
    <t>Keuze</t>
  </si>
  <si>
    <t>PV opbrengst €</t>
  </si>
  <si>
    <t>J</t>
  </si>
  <si>
    <t>N</t>
  </si>
  <si>
    <t>SCOP</t>
  </si>
  <si>
    <t>PV onderhoud</t>
  </si>
  <si>
    <t>Netto investering WP+ISO</t>
  </si>
  <si>
    <t>€</t>
  </si>
  <si>
    <t>Totaal</t>
  </si>
  <si>
    <t>PV gelijktijdigheid</t>
  </si>
  <si>
    <t>TCO/jr</t>
  </si>
  <si>
    <t>Rente</t>
  </si>
  <si>
    <t>jaarlijkse lasten</t>
  </si>
  <si>
    <t>Inkoopkorting WP collectief</t>
  </si>
  <si>
    <t>PV opwek kWh/jr</t>
  </si>
  <si>
    <t>Restwaarde</t>
  </si>
  <si>
    <t>PV investering</t>
  </si>
  <si>
    <t>€/kWh/jr</t>
  </si>
  <si>
    <t>Totaal - restwaarde</t>
  </si>
  <si>
    <t>Projectkosten / onvoorzien</t>
  </si>
  <si>
    <t>Aantal woningen collectief</t>
  </si>
  <si>
    <t>Herinvestering jr16</t>
  </si>
  <si>
    <t>Boordiepte</t>
  </si>
  <si>
    <t>Woning / lus</t>
  </si>
  <si>
    <t>bruto</t>
  </si>
  <si>
    <t>incl rente</t>
  </si>
  <si>
    <t>Leiding lengte per woning (m)</t>
  </si>
  <si>
    <t>Voordeel lus</t>
  </si>
  <si>
    <t>Interferentie bij individueel</t>
  </si>
  <si>
    <t>Voordeel installatie</t>
  </si>
  <si>
    <t>Geluidskast</t>
  </si>
  <si>
    <t>Verschil projectkosten</t>
  </si>
  <si>
    <t>Totaal voordeel</t>
  </si>
  <si>
    <t>Huidige situatie/CV</t>
  </si>
  <si>
    <t>Kol prijs</t>
  </si>
  <si>
    <t>Jaar</t>
  </si>
  <si>
    <t>Actief</t>
  </si>
  <si>
    <t>Som</t>
  </si>
  <si>
    <t>G m3 voor</t>
  </si>
  <si>
    <t>* &lt;plafond</t>
  </si>
  <si>
    <t>G kosten voor</t>
  </si>
  <si>
    <t>E (pomp en ontsteking)</t>
  </si>
  <si>
    <t>CV afschrijving</t>
  </si>
  <si>
    <t>Vaste kosten G</t>
  </si>
  <si>
    <t>G m3 na</t>
  </si>
  <si>
    <t>E kWh na</t>
  </si>
  <si>
    <t>G prijs</t>
  </si>
  <si>
    <t>E prijs</t>
  </si>
  <si>
    <t>Verh G&gt;E</t>
  </si>
  <si>
    <t>G kosten na</t>
  </si>
  <si>
    <t>E kosten na</t>
  </si>
  <si>
    <t>WP+ISO afschrijving</t>
  </si>
  <si>
    <t>PV opbrengst kWh</t>
  </si>
  <si>
    <t>PV eigen verbruik</t>
  </si>
  <si>
    <t>PV salderen max</t>
  </si>
  <si>
    <t>PV salderen</t>
  </si>
  <si>
    <t>PV terugleveren</t>
  </si>
  <si>
    <t>PV opbrengst €/kWh</t>
  </si>
  <si>
    <t>PV afschrijving</t>
  </si>
  <si>
    <t>Besparing</t>
  </si>
  <si>
    <t>Warmtepomp bodem individueel</t>
  </si>
  <si>
    <t>Lucht-warmtepomp individueel</t>
  </si>
  <si>
    <t>Type woning</t>
  </si>
  <si>
    <t>Jaren '90, tussenwoning</t>
  </si>
  <si>
    <t>Verbruik</t>
  </si>
  <si>
    <t>Gemiddeld</t>
  </si>
  <si>
    <t>Inflatiecorrectie startjaar vs. 2023 prijzen</t>
  </si>
  <si>
    <t>Scenario</t>
  </si>
  <si>
    <t>All Electric</t>
  </si>
  <si>
    <t>Maatregel</t>
  </si>
  <si>
    <t>Investering</t>
  </si>
  <si>
    <t>Subsidie</t>
  </si>
  <si>
    <t>Netto investering</t>
  </si>
  <si>
    <t>Afschrijving</t>
  </si>
  <si>
    <t>Netto investering 15jr</t>
  </si>
  <si>
    <t>Netto totaal incl inflatie</t>
  </si>
  <si>
    <t>Netto 15 jaar incl inflatie</t>
  </si>
  <si>
    <t>Spouw</t>
  </si>
  <si>
    <t>Vloer</t>
  </si>
  <si>
    <t>Tip:
Op de tab "Isolatie+" vind je voorbeeld kengetallen van isolatie maatregelen voor een jaren '90 woning. Je kan deze kopieren en plakken naar de cellen hiernaast</t>
  </si>
  <si>
    <t>Dak</t>
  </si>
  <si>
    <t>Glas HR++</t>
  </si>
  <si>
    <t>Schuifpui</t>
  </si>
  <si>
    <t>Kieren&amp;koudebruggen</t>
  </si>
  <si>
    <t>Ventilatie</t>
  </si>
  <si>
    <t>Ramen nok+dakkapel</t>
  </si>
  <si>
    <t>LT radiatoren</t>
  </si>
  <si>
    <t>Inductie koken</t>
  </si>
  <si>
    <t>Aansluiting</t>
  </si>
  <si>
    <t>Vermogen WP</t>
  </si>
  <si>
    <t>kWth</t>
  </si>
  <si>
    <t>= +/- kWe</t>
  </si>
  <si>
    <t>Luslengte per woning</t>
  </si>
  <si>
    <t>m</t>
  </si>
  <si>
    <t>Bodemlus (VBWW)</t>
  </si>
  <si>
    <t>Leidingwerk</t>
  </si>
  <si>
    <t>Warmtepomp incl installatie</t>
  </si>
  <si>
    <t>Totaal warmtepomp</t>
  </si>
  <si>
    <t>Totaal isolatie + WP</t>
  </si>
  <si>
    <t>PV</t>
  </si>
  <si>
    <t>Totaal isolatie + WP + PV</t>
  </si>
  <si>
    <t>Totaal 15 jaar</t>
  </si>
  <si>
    <t>Totaal &gt;15 jaar</t>
  </si>
  <si>
    <t>Bodem WP-individueel</t>
  </si>
  <si>
    <t>Totaal 20 jaar</t>
  </si>
  <si>
    <t>Lucht WP-individueel</t>
  </si>
  <si>
    <t>Rente aftrek</t>
  </si>
  <si>
    <t>3% correctie t.o.v. maximum aftrek percentage omdat het niet exact berekend wordt</t>
  </si>
  <si>
    <t>Tarieven Warmtefonds 17-1-2024</t>
  </si>
  <si>
    <t>7 jaar</t>
  </si>
  <si>
    <t>10 jaar</t>
  </si>
  <si>
    <t>15 jaar</t>
  </si>
  <si>
    <t>20 jaar</t>
  </si>
  <si>
    <t>Rentetarief</t>
  </si>
  <si>
    <t>Netto incl aftrek</t>
  </si>
  <si>
    <t>https://www.warmtefonds.nl/particulieren/actuele-rentetarieven</t>
  </si>
  <si>
    <t>Impact lening termijn</t>
  </si>
  <si>
    <t>Totaallast lening</t>
  </si>
  <si>
    <t>Aflosruimte</t>
  </si>
  <si>
    <t>Groothandelstarieven</t>
  </si>
  <si>
    <t>Aanname</t>
  </si>
  <si>
    <t>G</t>
  </si>
  <si>
    <t>Hoog</t>
  </si>
  <si>
    <t>t/m 2030 Futures +30%; na 2030 constant</t>
  </si>
  <si>
    <t>€/m3</t>
  </si>
  <si>
    <t>t/m 2030 Futures; na 2030 constant</t>
  </si>
  <si>
    <t>Laag</t>
  </si>
  <si>
    <t>t/m 2030 Futures -30%; na 2030 constant</t>
  </si>
  <si>
    <t>E</t>
  </si>
  <si>
    <t>t/m 2028 Futures +30%; 2029-2030: obv gas * factor; na 2030 constant</t>
  </si>
  <si>
    <t>€/MWh</t>
  </si>
  <si>
    <t>t/m 2028 Futures; 2029-2030: obv gas * factor; na 2030 constant</t>
  </si>
  <si>
    <t>t/m 2028 Futures -30%; 2029-2030: obv gas * factor; na 2030 constant</t>
  </si>
  <si>
    <t>Consumententarieven - levering incl BTW</t>
  </si>
  <si>
    <t>factor</t>
  </si>
  <si>
    <t>Analyse marges 2023 obv ACM dashboard vs futures groothandel; incl BTW effect</t>
  </si>
  <si>
    <t>Groothandel * marge factor</t>
  </si>
  <si>
    <t>€/kWh</t>
  </si>
  <si>
    <t>Consumententarieven - incl Energiebelasting &amp; BTW</t>
  </si>
  <si>
    <t>CPI</t>
  </si>
  <si>
    <t>EB</t>
  </si>
  <si>
    <t>Obv basispad belastingplan 2023/2024</t>
  </si>
  <si>
    <t>Levering + energiebelasting incl BTW</t>
  </si>
  <si>
    <t>Crisis</t>
  </si>
  <si>
    <t>Scenario hoog + 2x crisis '26-'28 &amp; '33-'35 vergelijkbaar met energiecrisis</t>
  </si>
  <si>
    <t>Warmtetarieven</t>
  </si>
  <si>
    <t>% ACM</t>
  </si>
  <si>
    <t>gem 2021-2023</t>
  </si>
  <si>
    <t>Vast</t>
  </si>
  <si>
    <t>€/GJ</t>
  </si>
  <si>
    <t>2023 ACM + CPI input</t>
  </si>
  <si>
    <t>Opslag</t>
  </si>
  <si>
    <t>Tarief</t>
  </si>
  <si>
    <t>2023 ACM, daarna volgt berekening overhead Gas</t>
  </si>
  <si>
    <t>Variabel</t>
  </si>
  <si>
    <t>Groothandelsprijs + opslag (methode ACM)</t>
  </si>
  <si>
    <t>% salderen</t>
  </si>
  <si>
    <t>Conform wetsvoorstel</t>
  </si>
  <si>
    <t>Teruglevertarief</t>
  </si>
  <si>
    <t>2023&amp;2024 Greenchoice actueel, &gt;=2025 80% leveringstarief excl EB (conform voorstel AMvB feb. 2023)</t>
  </si>
  <si>
    <t>Conform tarief scenario hoog: TLT volgt de prijspiek niet</t>
  </si>
  <si>
    <t>Vaste kosten gas</t>
  </si>
  <si>
    <t>Vaste leveringskosten</t>
  </si>
  <si>
    <t>Greenchoice 2023</t>
  </si>
  <si>
    <t>Netbeheer</t>
  </si>
  <si>
    <t>Stedin 2023 (via Greenchoice)</t>
  </si>
  <si>
    <t>Totaal vast</t>
  </si>
  <si>
    <t>Prijsplafond gas en elektriciteit 2023</t>
  </si>
  <si>
    <t>Plafond</t>
  </si>
  <si>
    <t>Prijs &lt; plafond</t>
  </si>
  <si>
    <t>Prijsplafond warmte 2023</t>
  </si>
  <si>
    <t>GJ</t>
  </si>
  <si>
    <t>ACM</t>
  </si>
  <si>
    <t>EUR/GJ ex BTW</t>
  </si>
  <si>
    <t>EUR/GJ incl BTW</t>
  </si>
  <si>
    <t>Inflatie</t>
  </si>
  <si>
    <t>Keuzeopties J/N</t>
  </si>
  <si>
    <t>CPI operationele kosten</t>
  </si>
  <si>
    <t>ACM: CPI2018-2022 gem is 1,88%</t>
  </si>
  <si>
    <t>CV ketel</t>
  </si>
  <si>
    <t>per jaar</t>
  </si>
  <si>
    <t>Praktijkvoorbeeld daadwerkelijke kosten onderhoudsabonnment + materiaal  2017-2022 gemiddeld</t>
  </si>
  <si>
    <t>CV aanschaf</t>
  </si>
  <si>
    <t>incl installatie</t>
  </si>
  <si>
    <t>https://cvketelcollectief.consumentenbond.nl/intergas-hrea2824</t>
  </si>
  <si>
    <t>jaar</t>
  </si>
  <si>
    <t>PV systeem</t>
  </si>
  <si>
    <t>PV aanschaf</t>
  </si>
  <si>
    <t>kWh min</t>
  </si>
  <si>
    <t>Prijs/WP ex BTW</t>
  </si>
  <si>
    <t>6-8 panelen</t>
  </si>
  <si>
    <t xml:space="preserve">8-14 panelen </t>
  </si>
  <si>
    <t>&gt;14 panelen</t>
  </si>
  <si>
    <t>PV gelijktijdigheid verwarming</t>
  </si>
  <si>
    <t>Simulatie praktijkdata opwek + gasverbruik; PV opbrengst gelijk aan vraag WP</t>
  </si>
  <si>
    <t>PV gelijktijdigheid verw+tap</t>
  </si>
  <si>
    <t>PV terugloop opbrengst</t>
  </si>
  <si>
    <t>Soft Energy</t>
  </si>
  <si>
    <t>Groenpand: nagenoeg onderhoudsvrij, alleen schoonmaken</t>
  </si>
  <si>
    <t>Bodem WP</t>
  </si>
  <si>
    <t>Lus (individueel)</t>
  </si>
  <si>
    <t>W/m</t>
  </si>
  <si>
    <t>VHGM business case</t>
  </si>
  <si>
    <t>Lus (collectief)</t>
  </si>
  <si>
    <t>W/lus</t>
  </si>
  <si>
    <t>Inkoopvoordeel door minder lussen</t>
  </si>
  <si>
    <t>Beperkt voordeel als 1 lus per woning</t>
  </si>
  <si>
    <t>VHGM business case, 2-20w</t>
  </si>
  <si>
    <t>+15% VHGM</t>
  </si>
  <si>
    <t>+25% VHGM</t>
  </si>
  <si>
    <t>+35% VHGM</t>
  </si>
  <si>
    <t>Extra inkoopvoordeel volume</t>
  </si>
  <si>
    <t>Min</t>
  </si>
  <si>
    <t>Max</t>
  </si>
  <si>
    <t>Benchmark met voordeel HVE business case</t>
  </si>
  <si>
    <t>Kosten lus</t>
  </si>
  <si>
    <t>m1</t>
  </si>
  <si>
    <t>Leidingwerk woningen dicht op elkaar</t>
  </si>
  <si>
    <t xml:space="preserve">Extra lengte tvv interferentie </t>
  </si>
  <si>
    <t>VHGM business case; iets meer gestaffeld</t>
  </si>
  <si>
    <t>Extra lengte tbv interferentie &lt;20w</t>
  </si>
  <si>
    <t>Extra lengte tbv interferentie &gt;20w</t>
  </si>
  <si>
    <t>Kosten leidingwerk per meter</t>
  </si>
  <si>
    <t>Inkoopvoordeel warmtepomp</t>
  </si>
  <si>
    <t>VHGM: 10% over installatie kosten = +/- 5% totaal</t>
  </si>
  <si>
    <t>Prijs Warmtepomp</t>
  </si>
  <si>
    <t>kWmin</t>
  </si>
  <si>
    <t>kWmax</t>
  </si>
  <si>
    <t>Basisprijs</t>
  </si>
  <si>
    <t>Incl installatie</t>
  </si>
  <si>
    <t>Obv Bosch Compress 6000 LMW prijslijst</t>
  </si>
  <si>
    <t>Obv Bosch Compress 7800i LMWF prijslijst</t>
  </si>
  <si>
    <t>Basisprijs bodemWP 6kW</t>
  </si>
  <si>
    <t>VHGM + prijslijst NIBE 20222 F1255</t>
  </si>
  <si>
    <t>VHGM rapport p17, gemiddelde drie cassussen in Utrecht</t>
  </si>
  <si>
    <t>ISDE</t>
  </si>
  <si>
    <t>ISDE lijst WW-WP</t>
  </si>
  <si>
    <t>Berekening in Business Case</t>
  </si>
  <si>
    <t>Indicatieve formule Deltares: https://www.linkedin.com/pulse/mijn-huis-geschikt-voor-een-warmtepomp-ivo-pothof/?trackingId=9JasMppMRE%2BjBThj%2FhiBKA%3D%3D</t>
  </si>
  <si>
    <t>Op basis actuele prijzen onderhoudscontracten</t>
  </si>
  <si>
    <t>https://www.energiewacht.nl/kennisbank/warmtepompen/alles-over-de-warmtepomp</t>
  </si>
  <si>
    <t>WP afschrijving</t>
  </si>
  <si>
    <t>Eigenhuis noemt tot 20 jaar</t>
  </si>
  <si>
    <t>https://www.eigenhuis.nl/energie/maatregelen/duurzaam-verwarmen/warmtepomp/alles-over-de-warmtepomp#/</t>
  </si>
  <si>
    <t>Diverse bronnen 12-15 jaar bij goed gebruik</t>
  </si>
  <si>
    <t>https://warmtepomp-weetjes.nl/gerelateerd/economische-en-praktijk-levensduur/</t>
  </si>
  <si>
    <t>https://www.feenstra.com/zorgelooswonen/levensduur-van-een-warmtepomp/</t>
  </si>
  <si>
    <t>https://www.daikin.be/nl_be/warmtepompen/informatie/levensduur.html#:~:text=De%20gemiddelde%20levensduur%20van%20een%20warmtepomp%20wordt%20theoretisch%20vastgelegd%20rond,je%20warmtepomp%20goed%20te%20onderhouden.</t>
  </si>
  <si>
    <t>Lucht-WP</t>
  </si>
  <si>
    <t>Obv Daikin Altherma 3 prijzen incl 180L boiler, zie Excel</t>
  </si>
  <si>
    <t>Inkoopprijs incl BTW + 40% installatiekosten, Daikin 6kW</t>
  </si>
  <si>
    <t>https://www.climasense.nl/lucht-water-warmtepompen-lt/1864-daikin-altherma-3-r-f-6-kw-vloermodel-hc-180-liter-9-kw-buh.html</t>
  </si>
  <si>
    <t>Meldcode KA12261</t>
  </si>
  <si>
    <t>https://www.rvo.nl/sites/default/files/2023-12/19-12-2023-ISDE-Meldcodelijst-Warmtepompen.pdf</t>
  </si>
  <si>
    <t>Inschatting bij goed gebruik</t>
  </si>
  <si>
    <t>Geluidskasten</t>
  </si>
  <si>
    <t>Vaak nodig bij tussenwoning</t>
  </si>
  <si>
    <t>https://www.akoestiekwinkel.nl/dice-05</t>
  </si>
  <si>
    <t>% actuele vs adviesbesparing</t>
  </si>
  <si>
    <t>PBL SA 2020 = 20% besparing (na-isolatie dak/spouw/vloer/glas) = +/- 67% EnergieGarant</t>
  </si>
  <si>
    <t>Bron</t>
  </si>
  <si>
    <t>Investering&amp;subsidie: Milieucentraal, besparing: EnergieGarant</t>
  </si>
  <si>
    <t>Investering&amp;subsidie: EnergieGarant, geen subsidie, besparing: EnergieGarant</t>
  </si>
  <si>
    <t>Investering&amp;subsidie: Milieucentraal, excl schuifpui = 70%, besparing: EnergieGarant, 70%</t>
  </si>
  <si>
    <t>Investering&amp;subsidie: prijsindicaties, subsidie 30% totaal, besparing: EnergieGarant 30% totaal</t>
  </si>
  <si>
    <t>Investering: ruwe schatting, minder dan jaren'60; besparing: 5% van warmteverlies * 30% besparing</t>
  </si>
  <si>
    <t>Investering: obv actuele prijzen decentrale ventilatie + €500 installatie/advies; besparing: obv kengetallen Milieucentraal &amp; Verbeter-je-huis, onderkant bandbreedte</t>
  </si>
  <si>
    <t>nvt</t>
  </si>
  <si>
    <t>Investering: EnergieGarant + tarieven Jaga, besparing: EnergieGarant</t>
  </si>
  <si>
    <t>Investering: CE-Delft +10% inflatie; subsidie: RVO; besparing: Milieucentraal/1200m3 verbruik</t>
  </si>
  <si>
    <t>Investering: Stedin rekenmodule 1x35A&gt;3x25A</t>
  </si>
  <si>
    <t>Tip: als je een woning hebt uit een andere bouwperiode kan je o.a. op de website van Milieucentraal passende kengetallen vinden</t>
  </si>
  <si>
    <t>PVT WP-individueel</t>
  </si>
  <si>
    <t>PVT WP   indi</t>
  </si>
  <si>
    <t>PVT WP indi</t>
  </si>
  <si>
    <t>PVT-warmtepomp individueel</t>
  </si>
  <si>
    <t>PV(T) opbrengst €</t>
  </si>
  <si>
    <t>PV(T) financiering</t>
  </si>
  <si>
    <t>PV(T) onderhoud</t>
  </si>
  <si>
    <t>PT Panelen</t>
  </si>
  <si>
    <t>Bodem WP MWN Indi</t>
  </si>
  <si>
    <t>Bodem WP MWN coll</t>
  </si>
  <si>
    <t>Warmtepomp bodem mini-warmtenet collectief</t>
  </si>
  <si>
    <t>Warmtepomp bodem mini-warmtenet individueel</t>
  </si>
  <si>
    <t>Bodem WP mini-warmtenet individueel</t>
  </si>
  <si>
    <t>Bodem WP mini-warmtenet collectief</t>
  </si>
  <si>
    <t>Tarieven 2025</t>
  </si>
  <si>
    <t>Luslengte totaal</t>
  </si>
  <si>
    <t>Obv Nibe</t>
  </si>
  <si>
    <t>ISDE Grote WP</t>
  </si>
  <si>
    <t>energiebreed.nl</t>
  </si>
  <si>
    <t>Investeringskosten</t>
  </si>
  <si>
    <t>Matig</t>
  </si>
  <si>
    <t>Gecompliceerdheid ontwerp</t>
  </si>
  <si>
    <t>++</t>
  </si>
  <si>
    <t>+</t>
  </si>
  <si>
    <t xml:space="preserve">Invloed op netbelasting </t>
  </si>
  <si>
    <t>Opwek stroom</t>
  </si>
  <si>
    <t>Afleverset nodig</t>
  </si>
  <si>
    <t>Geluidshinder</t>
  </si>
  <si>
    <t>J/N</t>
  </si>
  <si>
    <t>Gasloos mogelijk</t>
  </si>
  <si>
    <t>Goed</t>
  </si>
  <si>
    <t>Rendement tapwater</t>
  </si>
  <si>
    <t>Rendement koelen</t>
  </si>
  <si>
    <t>Rendement verwarmen</t>
  </si>
  <si>
    <t>Binnen</t>
  </si>
  <si>
    <t>Vergunning nodig</t>
  </si>
  <si>
    <t>Testen</t>
  </si>
  <si>
    <t>CV afgifte systeem geschikt</t>
  </si>
  <si>
    <t>Isolatie voldoende</t>
  </si>
  <si>
    <t>Bodembron collectief; pomp individueel</t>
  </si>
  <si>
    <t>Bodembron en warmtepomp collectief</t>
  </si>
  <si>
    <t>PVT (zonnepanelen + thermische laag); pomp individueel</t>
  </si>
  <si>
    <t>Luchtwater warmtepomp collectief</t>
  </si>
  <si>
    <t>Bodem warmtepomp</t>
  </si>
  <si>
    <t>PVT (zonnepanelen + thermische laag)</t>
  </si>
  <si>
    <t>Luchtwater warmtepomp</t>
  </si>
  <si>
    <t>Gas</t>
  </si>
  <si>
    <t>Aspecten</t>
  </si>
  <si>
    <t>Uitgangspunten</t>
  </si>
  <si>
    <t>Overzicht scenario's</t>
  </si>
  <si>
    <t>Aug 2025</t>
  </si>
  <si>
    <t>Buiten dak/tuin</t>
  </si>
  <si>
    <t>Openbare ruimte</t>
  </si>
  <si>
    <t>Miniwarmtenet oplossingen vergeleken</t>
  </si>
  <si>
    <t>Individuele oplossingen vergeleken</t>
  </si>
  <si>
    <t>Opstelling ketel/pomp</t>
  </si>
  <si>
    <t>Dak + Binnen</t>
  </si>
  <si>
    <t xml:space="preserve">nplw.nl/warmte-en-ruimte/ruimtetool </t>
  </si>
  <si>
    <t>Zie voor meer details</t>
  </si>
  <si>
    <t>Toelichting en verantwoording</t>
  </si>
  <si>
    <t>Dit reken- en vergelijksmodel miniwarmte is een uitbreiding van de indicatieve business case die in september 2024 gemaakt is in opdracht van Provincie Utrecht en Energie van Utrecht.</t>
  </si>
  <si>
    <r>
      <t xml:space="preserve">In de bijlage </t>
    </r>
    <r>
      <rPr>
        <i/>
        <sz val="11"/>
        <color theme="1"/>
        <rFont val="Calibri"/>
        <family val="2"/>
        <scheme val="minor"/>
      </rPr>
      <t>Next2Company Toelichting Business case mini-warmtenet.pdf</t>
    </r>
    <r>
      <rPr>
        <sz val="11"/>
        <color theme="1"/>
        <rFont val="Calibri"/>
        <scheme val="minor"/>
      </rPr>
      <t xml:space="preserve">  is de verantwoording van oorspronkelijk model en een korte instructie voor gebruik te vinden</t>
    </r>
    <r>
      <rPr>
        <sz val="11"/>
        <color theme="1"/>
        <rFont val="Calibri"/>
        <family val="2"/>
        <scheme val="minor"/>
      </rPr>
      <t>.</t>
    </r>
  </si>
  <si>
    <t>Tijdens de fase opstellen Uitvoeringsplan aardgasvrij wonen voor de Rietkampen, heeft Energiebreed het model verbeterd en uitgebreid met meer individuele en collectieve oplossingen. ook is een vergelijking van de voor- en nadelen van de opties toegevoegd.</t>
  </si>
  <si>
    <t>Totaal over levensduur</t>
  </si>
  <si>
    <t>Gebruik is op eigen risico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</si>
</sst>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6" formatCode="&quot;€&quot;\ #,##0;[Red]&quot;€&quot;\ \-#,##0"/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&quot;€&quot;\ #,##0"/>
    <numFmt numFmtId="165" formatCode="#,##0_ ;\-#,##0\ "/>
    <numFmt numFmtId="166" formatCode="#,##0.0_ ;\-#,##0.0\ "/>
    <numFmt numFmtId="167" formatCode="0.0%"/>
    <numFmt numFmtId="168" formatCode="&quot;€&quot;\ #,##0.00"/>
    <numFmt numFmtId="169" formatCode="_ * #,##0_ ;_ * \-#,##0_ ;_ * &quot;-&quot;??_ ;_ @_ "/>
    <numFmt numFmtId="170" formatCode="_ * #,##0.0_ ;_ * \-#,##0.0_ ;_ * &quot;-&quot;??_ ;_ @_ "/>
    <numFmt numFmtId="171" formatCode="_ * #,##0.0_ ;_ * \-#,##0.0_ ;_ * &quot;-&quot;?_ ;_ @_ "/>
    <numFmt numFmtId="172" formatCode="&quot;€&quot;\ #,##0.0"/>
    <numFmt numFmtId="173" formatCode="_ * #,##0.000_ ;_ * \-#,##0.000_ ;_ * &quot;-&quot;??_ ;_ @_ "/>
    <numFmt numFmtId="174" formatCode="_ &quot;€&quot;\ * #,##0_ ;_ &quot;€&quot;\ * \-#,##0_ ;_ &quot;€&quot;\ * &quot;-&quot;??_ ;_ @_ "/>
    <numFmt numFmtId="175" formatCode="0.0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64"/>
      <name val="Calibri"/>
      <family val="2"/>
    </font>
    <font>
      <b/>
      <sz val="11"/>
      <color indexed="64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9"/>
        <bgColor theme="9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3FFC4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5" fillId="0" borderId="0" applyNumberFormat="0" applyFill="0" applyBorder="0" applyProtection="0"/>
    <xf numFmtId="43" fontId="12" fillId="0" borderId="0" applyFont="0" applyFill="0" applyBorder="0" applyProtection="0"/>
    <xf numFmtId="9" fontId="12" fillId="0" borderId="0" applyFont="0" applyFill="0" applyBorder="0" applyProtection="0"/>
    <xf numFmtId="44" fontId="12" fillId="0" borderId="0" applyFont="0" applyFill="0" applyBorder="0" applyProtection="0"/>
    <xf numFmtId="0" fontId="4" fillId="0" borderId="0"/>
    <xf numFmtId="0" fontId="14" fillId="0" borderId="0" applyNumberFormat="0" applyFill="0" applyBorder="0" applyAlignment="0" applyProtection="0"/>
  </cellStyleXfs>
  <cellXfs count="171">
    <xf numFmtId="0" fontId="0" fillId="0" borderId="0" xfId="0"/>
    <xf numFmtId="0" fontId="6" fillId="0" borderId="0" xfId="0" applyFont="1"/>
    <xf numFmtId="0" fontId="0" fillId="2" borderId="0" xfId="0" applyFill="1"/>
    <xf numFmtId="0" fontId="7" fillId="0" borderId="0" xfId="0" applyFont="1"/>
    <xf numFmtId="0" fontId="0" fillId="3" borderId="0" xfId="0" applyFill="1" applyAlignment="1">
      <alignment horizontal="center"/>
    </xf>
    <xf numFmtId="0" fontId="7" fillId="0" borderId="0" xfId="0" applyFont="1" applyAlignment="1">
      <alignment horizontal="center" wrapText="1"/>
    </xf>
    <xf numFmtId="9" fontId="0" fillId="0" borderId="0" xfId="0" applyNumberFormat="1" applyAlignment="1">
      <alignment horizontal="center"/>
    </xf>
    <xf numFmtId="0" fontId="7" fillId="2" borderId="0" xfId="0" applyFont="1" applyFill="1"/>
    <xf numFmtId="9" fontId="0" fillId="0" borderId="0" xfId="3" applyFont="1"/>
    <xf numFmtId="164" fontId="0" fillId="0" borderId="0" xfId="0" applyNumberFormat="1"/>
    <xf numFmtId="6" fontId="0" fillId="0" borderId="0" xfId="0" applyNumberFormat="1"/>
    <xf numFmtId="0" fontId="0" fillId="0" borderId="0" xfId="0" applyAlignment="1">
      <alignment horizontal="center"/>
    </xf>
    <xf numFmtId="165" fontId="0" fillId="0" borderId="0" xfId="2" applyNumberFormat="1" applyFont="1" applyAlignment="1">
      <alignment horizontal="center"/>
    </xf>
    <xf numFmtId="0" fontId="0" fillId="0" borderId="0" xfId="0" quotePrefix="1"/>
    <xf numFmtId="9" fontId="0" fillId="3" borderId="0" xfId="0" applyNumberFormat="1" applyFill="1" applyAlignment="1">
      <alignment horizontal="center"/>
    </xf>
    <xf numFmtId="166" fontId="0" fillId="3" borderId="0" xfId="2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164" fontId="7" fillId="0" borderId="0" xfId="0" applyNumberFormat="1" applyFont="1"/>
    <xf numFmtId="9" fontId="0" fillId="3" borderId="0" xfId="3" applyFont="1" applyFill="1" applyAlignment="1">
      <alignment horizontal="center"/>
    </xf>
    <xf numFmtId="8" fontId="0" fillId="0" borderId="0" xfId="0" applyNumberFormat="1"/>
    <xf numFmtId="9" fontId="0" fillId="0" borderId="0" xfId="3" applyFont="1" applyAlignment="1">
      <alignment horizontal="center"/>
    </xf>
    <xf numFmtId="168" fontId="0" fillId="0" borderId="0" xfId="0" applyNumberFormat="1" applyAlignment="1">
      <alignment horizontal="center"/>
    </xf>
    <xf numFmtId="0" fontId="8" fillId="0" borderId="0" xfId="0" applyFont="1"/>
    <xf numFmtId="0" fontId="6" fillId="4" borderId="0" xfId="0" applyFont="1" applyFill="1"/>
    <xf numFmtId="168" fontId="0" fillId="0" borderId="0" xfId="0" applyNumberFormat="1"/>
    <xf numFmtId="169" fontId="0" fillId="0" borderId="0" xfId="2" applyNumberFormat="1" applyFont="1"/>
    <xf numFmtId="164" fontId="0" fillId="2" borderId="0" xfId="0" applyNumberFormat="1" applyFill="1"/>
    <xf numFmtId="0" fontId="6" fillId="4" borderId="0" xfId="0" quotePrefix="1" applyFont="1" applyFill="1"/>
    <xf numFmtId="43" fontId="0" fillId="0" borderId="0" xfId="2" applyFont="1"/>
    <xf numFmtId="168" fontId="0" fillId="0" borderId="0" xfId="2" applyNumberFormat="1" applyFont="1"/>
    <xf numFmtId="164" fontId="0" fillId="0" borderId="0" xfId="2" applyNumberFormat="1" applyFont="1"/>
    <xf numFmtId="9" fontId="0" fillId="3" borderId="0" xfId="3" applyFont="1" applyFill="1"/>
    <xf numFmtId="164" fontId="0" fillId="3" borderId="0" xfId="0" applyNumberFormat="1" applyFill="1"/>
    <xf numFmtId="0" fontId="0" fillId="3" borderId="0" xfId="0" applyFill="1"/>
    <xf numFmtId="9" fontId="0" fillId="3" borderId="0" xfId="0" applyNumberFormat="1" applyFill="1"/>
    <xf numFmtId="9" fontId="7" fillId="0" borderId="0" xfId="3" applyFont="1"/>
    <xf numFmtId="0" fontId="9" fillId="0" borderId="0" xfId="0" applyFont="1" applyAlignment="1">
      <alignment horizontal="left"/>
    </xf>
    <xf numFmtId="170" fontId="0" fillId="0" borderId="0" xfId="2" applyNumberFormat="1" applyFont="1"/>
    <xf numFmtId="171" fontId="0" fillId="0" borderId="0" xfId="0" applyNumberFormat="1"/>
    <xf numFmtId="169" fontId="0" fillId="0" borderId="0" xfId="0" applyNumberFormat="1"/>
    <xf numFmtId="0" fontId="5" fillId="0" borderId="0" xfId="1"/>
    <xf numFmtId="0" fontId="10" fillId="0" borderId="0" xfId="0" applyFont="1" applyAlignment="1">
      <alignment horizontal="left"/>
    </xf>
    <xf numFmtId="9" fontId="7" fillId="0" borderId="0" xfId="0" applyNumberFormat="1" applyFont="1"/>
    <xf numFmtId="170" fontId="7" fillId="0" borderId="0" xfId="2" applyNumberFormat="1" applyFont="1"/>
    <xf numFmtId="169" fontId="7" fillId="0" borderId="0" xfId="2" applyNumberFormat="1" applyFont="1"/>
    <xf numFmtId="6" fontId="7" fillId="0" borderId="0" xfId="0" applyNumberFormat="1" applyFont="1"/>
    <xf numFmtId="10" fontId="0" fillId="0" borderId="0" xfId="0" applyNumberFormat="1"/>
    <xf numFmtId="9" fontId="0" fillId="0" borderId="0" xfId="0" applyNumberFormat="1"/>
    <xf numFmtId="10" fontId="0" fillId="3" borderId="0" xfId="0" applyNumberFormat="1" applyFill="1"/>
    <xf numFmtId="167" fontId="0" fillId="0" borderId="0" xfId="0" applyNumberFormat="1"/>
    <xf numFmtId="168" fontId="0" fillId="2" borderId="0" xfId="0" applyNumberFormat="1" applyFill="1"/>
    <xf numFmtId="172" fontId="0" fillId="2" borderId="0" xfId="0" applyNumberFormat="1" applyFill="1"/>
    <xf numFmtId="172" fontId="0" fillId="0" borderId="0" xfId="0" applyNumberFormat="1"/>
    <xf numFmtId="1" fontId="0" fillId="0" borderId="0" xfId="0" applyNumberFormat="1"/>
    <xf numFmtId="167" fontId="0" fillId="0" borderId="0" xfId="3" applyNumberFormat="1" applyFont="1"/>
    <xf numFmtId="43" fontId="6" fillId="0" borderId="0" xfId="2" applyFont="1"/>
    <xf numFmtId="43" fontId="0" fillId="2" borderId="0" xfId="2" applyFont="1" applyFill="1"/>
    <xf numFmtId="173" fontId="0" fillId="0" borderId="0" xfId="2" applyNumberFormat="1" applyFont="1"/>
    <xf numFmtId="0" fontId="6" fillId="2" borderId="0" xfId="0" applyFont="1" applyFill="1"/>
    <xf numFmtId="9" fontId="0" fillId="2" borderId="0" xfId="0" applyNumberFormat="1" applyFill="1"/>
    <xf numFmtId="0" fontId="0" fillId="2" borderId="0" xfId="0" quotePrefix="1" applyFill="1"/>
    <xf numFmtId="0" fontId="11" fillId="6" borderId="0" xfId="0" applyFont="1" applyFill="1"/>
    <xf numFmtId="0" fontId="11" fillId="7" borderId="0" xfId="0" applyFont="1" applyFill="1"/>
    <xf numFmtId="9" fontId="0" fillId="8" borderId="0" xfId="0" applyNumberFormat="1" applyFill="1"/>
    <xf numFmtId="174" fontId="9" fillId="0" borderId="0" xfId="0" applyNumberFormat="1" applyFont="1"/>
    <xf numFmtId="174" fontId="0" fillId="0" borderId="0" xfId="0" applyNumberFormat="1"/>
    <xf numFmtId="9" fontId="0" fillId="6" borderId="0" xfId="0" applyNumberFormat="1" applyFill="1"/>
    <xf numFmtId="0" fontId="6" fillId="9" borderId="0" xfId="0" applyFont="1" applyFill="1"/>
    <xf numFmtId="0" fontId="12" fillId="0" borderId="0" xfId="0" applyFont="1"/>
    <xf numFmtId="0" fontId="5" fillId="0" borderId="0" xfId="1" applyFill="1"/>
    <xf numFmtId="169" fontId="0" fillId="0" borderId="0" xfId="2" applyNumberFormat="1" applyFont="1" applyFill="1"/>
    <xf numFmtId="168" fontId="0" fillId="0" borderId="0" xfId="0" quotePrefix="1" applyNumberFormat="1"/>
    <xf numFmtId="169" fontId="0" fillId="0" borderId="0" xfId="2" applyNumberFormat="1" applyFont="1" applyFill="1" applyAlignment="1">
      <alignment horizontal="center"/>
    </xf>
    <xf numFmtId="9" fontId="0" fillId="0" borderId="0" xfId="3" applyFont="1" applyFill="1"/>
    <xf numFmtId="9" fontId="0" fillId="0" borderId="0" xfId="0" quotePrefix="1" applyNumberFormat="1" applyAlignment="1">
      <alignment horizontal="left"/>
    </xf>
    <xf numFmtId="9" fontId="0" fillId="0" borderId="0" xfId="0" applyNumberFormat="1" applyAlignment="1">
      <alignment horizontal="left"/>
    </xf>
    <xf numFmtId="43" fontId="0" fillId="0" borderId="0" xfId="2" applyFont="1" applyFill="1"/>
    <xf numFmtId="9" fontId="0" fillId="0" borderId="0" xfId="2" applyNumberFormat="1" applyFont="1" applyFill="1"/>
    <xf numFmtId="170" fontId="0" fillId="0" borderId="0" xfId="2" applyNumberFormat="1" applyFont="1" applyFill="1"/>
    <xf numFmtId="164" fontId="0" fillId="0" borderId="0" xfId="3" applyNumberFormat="1" applyFont="1" applyFill="1"/>
    <xf numFmtId="0" fontId="5" fillId="0" borderId="0" xfId="1" applyFill="1" applyAlignment="1">
      <alignment horizontal="left" vertical="center"/>
    </xf>
    <xf numFmtId="0" fontId="5" fillId="0" borderId="0" xfId="1" applyFill="1" applyAlignment="1">
      <alignment vertical="center"/>
    </xf>
    <xf numFmtId="164" fontId="0" fillId="0" borderId="0" xfId="0" applyNumberFormat="1" applyAlignment="1">
      <alignment horizontal="right"/>
    </xf>
    <xf numFmtId="9" fontId="0" fillId="0" borderId="0" xfId="3" applyFont="1" applyFill="1" applyAlignment="1">
      <alignment horizontal="center"/>
    </xf>
    <xf numFmtId="167" fontId="0" fillId="0" borderId="0" xfId="0" applyNumberFormat="1" applyAlignment="1">
      <alignment horizontal="center"/>
    </xf>
    <xf numFmtId="165" fontId="0" fillId="0" borderId="0" xfId="2" applyNumberFormat="1" applyFont="1" applyFill="1" applyAlignment="1">
      <alignment horizontal="center"/>
    </xf>
    <xf numFmtId="165" fontId="12" fillId="0" borderId="0" xfId="2" applyNumberFormat="1" applyFont="1" applyFill="1" applyAlignment="1">
      <alignment horizontal="center"/>
    </xf>
    <xf numFmtId="6" fontId="0" fillId="10" borderId="0" xfId="0" applyNumberFormat="1" applyFill="1"/>
    <xf numFmtId="164" fontId="7" fillId="10" borderId="0" xfId="0" applyNumberFormat="1" applyFont="1" applyFill="1"/>
    <xf numFmtId="164" fontId="12" fillId="0" borderId="0" xfId="0" applyNumberFormat="1" applyFont="1"/>
    <xf numFmtId="44" fontId="12" fillId="0" borderId="0" xfId="4" applyFont="1" applyFill="1"/>
    <xf numFmtId="0" fontId="12" fillId="3" borderId="0" xfId="0" applyFont="1" applyFill="1" applyAlignment="1">
      <alignment horizontal="center"/>
    </xf>
    <xf numFmtId="1" fontId="0" fillId="0" borderId="0" xfId="2" applyNumberFormat="1" applyFont="1" applyFill="1" applyAlignment="1">
      <alignment horizontal="center"/>
    </xf>
    <xf numFmtId="0" fontId="4" fillId="10" borderId="0" xfId="5" applyFill="1" applyAlignment="1">
      <alignment vertical="top"/>
    </xf>
    <xf numFmtId="0" fontId="14" fillId="10" borderId="0" xfId="6" applyFill="1" applyAlignment="1">
      <alignment vertical="top"/>
    </xf>
    <xf numFmtId="0" fontId="4" fillId="10" borderId="1" xfId="5" applyFill="1" applyBorder="1" applyAlignment="1">
      <alignment vertical="top"/>
    </xf>
    <xf numFmtId="0" fontId="4" fillId="10" borderId="2" xfId="5" applyFill="1" applyBorder="1" applyAlignment="1">
      <alignment vertical="top"/>
    </xf>
    <xf numFmtId="0" fontId="4" fillId="10" borderId="3" xfId="5" applyFill="1" applyBorder="1" applyAlignment="1">
      <alignment vertical="top"/>
    </xf>
    <xf numFmtId="0" fontId="4" fillId="10" borderId="4" xfId="5" applyFill="1" applyBorder="1" applyAlignment="1">
      <alignment vertical="top"/>
    </xf>
    <xf numFmtId="0" fontId="4" fillId="10" borderId="5" xfId="5" applyFill="1" applyBorder="1" applyAlignment="1">
      <alignment horizontal="center" vertical="top"/>
    </xf>
    <xf numFmtId="0" fontId="4" fillId="10" borderId="0" xfId="5" applyFill="1" applyAlignment="1">
      <alignment horizontal="center" vertical="top"/>
    </xf>
    <xf numFmtId="0" fontId="4" fillId="10" borderId="6" xfId="5" applyFill="1" applyBorder="1" applyAlignment="1">
      <alignment horizontal="center" vertical="top"/>
    </xf>
    <xf numFmtId="0" fontId="4" fillId="10" borderId="7" xfId="5" applyFill="1" applyBorder="1" applyAlignment="1">
      <alignment vertical="top"/>
    </xf>
    <xf numFmtId="0" fontId="4" fillId="10" borderId="6" xfId="5" quotePrefix="1" applyFill="1" applyBorder="1" applyAlignment="1">
      <alignment horizontal="center" vertical="top"/>
    </xf>
    <xf numFmtId="0" fontId="4" fillId="10" borderId="5" xfId="5" quotePrefix="1" applyFill="1" applyBorder="1" applyAlignment="1">
      <alignment horizontal="center" vertical="top"/>
    </xf>
    <xf numFmtId="0" fontId="4" fillId="10" borderId="0" xfId="5" quotePrefix="1" applyFill="1" applyAlignment="1">
      <alignment horizontal="center" vertical="top"/>
    </xf>
    <xf numFmtId="0" fontId="4" fillId="0" borderId="7" xfId="5" applyBorder="1" applyAlignment="1">
      <alignment vertical="top"/>
    </xf>
    <xf numFmtId="0" fontId="13" fillId="10" borderId="8" xfId="5" applyFont="1" applyFill="1" applyBorder="1" applyAlignment="1">
      <alignment horizontal="center" wrapText="1"/>
    </xf>
    <xf numFmtId="0" fontId="13" fillId="10" borderId="9" xfId="5" applyFont="1" applyFill="1" applyBorder="1" applyAlignment="1">
      <alignment horizontal="center" wrapText="1"/>
    </xf>
    <xf numFmtId="0" fontId="13" fillId="0" borderId="9" xfId="5" applyFont="1" applyBorder="1" applyAlignment="1">
      <alignment horizontal="center" wrapText="1"/>
    </xf>
    <xf numFmtId="0" fontId="13" fillId="10" borderId="10" xfId="5" applyFont="1" applyFill="1" applyBorder="1" applyAlignment="1">
      <alignment horizontal="center" wrapText="1"/>
    </xf>
    <xf numFmtId="0" fontId="13" fillId="10" borderId="10" xfId="5" applyFont="1" applyFill="1" applyBorder="1" applyAlignment="1">
      <alignment horizontal="center"/>
    </xf>
    <xf numFmtId="0" fontId="4" fillId="10" borderId="15" xfId="5" applyFill="1" applyBorder="1" applyAlignment="1">
      <alignment vertical="top"/>
    </xf>
    <xf numFmtId="0" fontId="0" fillId="10" borderId="0" xfId="0" applyFill="1"/>
    <xf numFmtId="168" fontId="0" fillId="10" borderId="0" xfId="0" applyNumberFormat="1" applyFill="1" applyAlignment="1">
      <alignment horizontal="center"/>
    </xf>
    <xf numFmtId="164" fontId="0" fillId="10" borderId="0" xfId="0" applyNumberFormat="1" applyFill="1" applyAlignment="1">
      <alignment horizontal="right"/>
    </xf>
    <xf numFmtId="164" fontId="0" fillId="10" borderId="0" xfId="0" applyNumberFormat="1" applyFill="1"/>
    <xf numFmtId="0" fontId="0" fillId="10" borderId="14" xfId="0" applyFill="1" applyBorder="1"/>
    <xf numFmtId="0" fontId="0" fillId="10" borderId="13" xfId="0" applyFill="1" applyBorder="1"/>
    <xf numFmtId="0" fontId="0" fillId="10" borderId="12" xfId="0" applyFill="1" applyBorder="1"/>
    <xf numFmtId="0" fontId="13" fillId="10" borderId="6" xfId="0" applyFont="1" applyFill="1" applyBorder="1"/>
    <xf numFmtId="0" fontId="0" fillId="10" borderId="5" xfId="0" applyFill="1" applyBorder="1"/>
    <xf numFmtId="0" fontId="0" fillId="10" borderId="6" xfId="0" applyFill="1" applyBorder="1"/>
    <xf numFmtId="175" fontId="7" fillId="11" borderId="0" xfId="0" applyNumberFormat="1" applyFont="1" applyFill="1" applyAlignment="1">
      <alignment horizontal="center"/>
    </xf>
    <xf numFmtId="168" fontId="0" fillId="10" borderId="0" xfId="4" applyNumberFormat="1" applyFont="1" applyFill="1" applyBorder="1" applyAlignment="1">
      <alignment horizontal="center"/>
    </xf>
    <xf numFmtId="9" fontId="0" fillId="10" borderId="0" xfId="3" applyFont="1" applyFill="1" applyBorder="1" applyAlignment="1">
      <alignment horizontal="center"/>
    </xf>
    <xf numFmtId="167" fontId="0" fillId="10" borderId="0" xfId="3" applyNumberFormat="1" applyFont="1" applyFill="1" applyBorder="1" applyAlignment="1">
      <alignment horizontal="center"/>
    </xf>
    <xf numFmtId="0" fontId="0" fillId="10" borderId="0" xfId="0" applyFill="1" applyAlignment="1">
      <alignment horizontal="center"/>
    </xf>
    <xf numFmtId="9" fontId="0" fillId="11" borderId="0" xfId="3" applyFont="1" applyFill="1" applyBorder="1" applyAlignment="1">
      <alignment horizontal="center"/>
    </xf>
    <xf numFmtId="1" fontId="0" fillId="10" borderId="0" xfId="0" applyNumberFormat="1" applyFill="1" applyAlignment="1">
      <alignment horizontal="center"/>
    </xf>
    <xf numFmtId="0" fontId="0" fillId="11" borderId="0" xfId="0" applyFill="1" applyAlignment="1">
      <alignment horizontal="center"/>
    </xf>
    <xf numFmtId="164" fontId="7" fillId="10" borderId="0" xfId="0" applyNumberFormat="1" applyFont="1" applyFill="1" applyAlignment="1">
      <alignment horizontal="right"/>
    </xf>
    <xf numFmtId="0" fontId="0" fillId="10" borderId="3" xfId="0" applyFill="1" applyBorder="1"/>
    <xf numFmtId="0" fontId="0" fillId="10" borderId="2" xfId="0" applyFill="1" applyBorder="1"/>
    <xf numFmtId="164" fontId="0" fillId="10" borderId="2" xfId="0" applyNumberFormat="1" applyFill="1" applyBorder="1"/>
    <xf numFmtId="164" fontId="0" fillId="10" borderId="2" xfId="0" applyNumberFormat="1" applyFill="1" applyBorder="1" applyAlignment="1">
      <alignment horizontal="right"/>
    </xf>
    <xf numFmtId="0" fontId="0" fillId="10" borderId="1" xfId="0" applyFill="1" applyBorder="1"/>
    <xf numFmtId="9" fontId="0" fillId="10" borderId="0" xfId="3" applyFont="1" applyFill="1" applyBorder="1"/>
    <xf numFmtId="0" fontId="0" fillId="11" borderId="2" xfId="0" applyFill="1" applyBorder="1"/>
    <xf numFmtId="0" fontId="13" fillId="10" borderId="11" xfId="5" applyFont="1" applyFill="1" applyBorder="1"/>
    <xf numFmtId="0" fontId="15" fillId="10" borderId="12" xfId="5" applyFont="1" applyFill="1" applyBorder="1" applyAlignment="1">
      <alignment horizontal="center" vertical="top"/>
    </xf>
    <xf numFmtId="0" fontId="13" fillId="10" borderId="5" xfId="5" applyFont="1" applyFill="1" applyBorder="1" applyAlignment="1">
      <alignment vertical="top"/>
    </xf>
    <xf numFmtId="0" fontId="4" fillId="10" borderId="5" xfId="5" applyFill="1" applyBorder="1" applyAlignment="1">
      <alignment vertical="top"/>
    </xf>
    <xf numFmtId="0" fontId="4" fillId="10" borderId="5" xfId="5" quotePrefix="1" applyFill="1" applyBorder="1" applyAlignment="1">
      <alignment vertical="top"/>
    </xf>
    <xf numFmtId="0" fontId="3" fillId="10" borderId="0" xfId="5" applyFont="1" applyFill="1" applyAlignment="1">
      <alignment vertical="top"/>
    </xf>
    <xf numFmtId="0" fontId="3" fillId="10" borderId="0" xfId="5" applyFont="1" applyFill="1" applyAlignment="1">
      <alignment horizontal="center" vertical="top"/>
    </xf>
    <xf numFmtId="0" fontId="3" fillId="10" borderId="6" xfId="5" applyFont="1" applyFill="1" applyBorder="1" applyAlignment="1">
      <alignment horizontal="center" vertical="top"/>
    </xf>
    <xf numFmtId="0" fontId="3" fillId="10" borderId="7" xfId="5" applyFont="1" applyFill="1" applyBorder="1" applyAlignment="1">
      <alignment vertical="top"/>
    </xf>
    <xf numFmtId="0" fontId="3" fillId="10" borderId="6" xfId="5" quotePrefix="1" applyFont="1" applyFill="1" applyBorder="1" applyAlignment="1">
      <alignment horizontal="center" vertical="top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2" fillId="10" borderId="0" xfId="0" applyFont="1" applyFill="1"/>
    <xf numFmtId="0" fontId="7" fillId="10" borderId="0" xfId="0" applyFont="1" applyFill="1" applyAlignment="1">
      <alignment horizontal="right"/>
    </xf>
    <xf numFmtId="49" fontId="13" fillId="10" borderId="0" xfId="5" applyNumberFormat="1" applyFont="1" applyFill="1" applyAlignment="1">
      <alignment vertical="top"/>
    </xf>
    <xf numFmtId="164" fontId="0" fillId="10" borderId="0" xfId="4" applyNumberFormat="1" applyFont="1" applyFill="1" applyBorder="1" applyAlignment="1">
      <alignment horizontal="center"/>
    </xf>
    <xf numFmtId="0" fontId="0" fillId="12" borderId="6" xfId="0" applyFill="1" applyBorder="1"/>
    <xf numFmtId="0" fontId="0" fillId="12" borderId="0" xfId="0" applyFill="1"/>
    <xf numFmtId="164" fontId="7" fillId="12" borderId="0" xfId="0" applyNumberFormat="1" applyFont="1" applyFill="1" applyAlignment="1">
      <alignment horizontal="right"/>
    </xf>
    <xf numFmtId="0" fontId="0" fillId="12" borderId="5" xfId="0" applyFill="1" applyBorder="1"/>
    <xf numFmtId="0" fontId="7" fillId="10" borderId="0" xfId="0" applyFont="1" applyFill="1"/>
    <xf numFmtId="0" fontId="7" fillId="10" borderId="13" xfId="0" applyFont="1" applyFill="1" applyBorder="1" applyAlignment="1">
      <alignment horizontal="center" wrapText="1"/>
    </xf>
    <xf numFmtId="0" fontId="7" fillId="10" borderId="0" xfId="0" applyFont="1" applyFill="1" applyAlignment="1">
      <alignment horizontal="center" wrapText="1"/>
    </xf>
    <xf numFmtId="0" fontId="16" fillId="10" borderId="14" xfId="5" applyFont="1" applyFill="1" applyBorder="1" applyAlignment="1">
      <alignment horizontal="center" vertical="top"/>
    </xf>
    <xf numFmtId="0" fontId="16" fillId="10" borderId="13" xfId="5" applyFont="1" applyFill="1" applyBorder="1" applyAlignment="1">
      <alignment horizontal="center" vertical="top"/>
    </xf>
    <xf numFmtId="0" fontId="16" fillId="10" borderId="12" xfId="5" applyFont="1" applyFill="1" applyBorder="1" applyAlignment="1">
      <alignment horizontal="center" vertical="top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0" fillId="5" borderId="0" xfId="0" applyFill="1" applyAlignment="1">
      <alignment horizontal="left" vertical="top" wrapText="1"/>
    </xf>
    <xf numFmtId="0" fontId="0" fillId="5" borderId="0" xfId="0" applyFill="1" applyAlignment="1">
      <alignment horizontal="left" vertical="top"/>
    </xf>
  </cellXfs>
  <cellStyles count="7">
    <cellStyle name="Hyperlink" xfId="1" builtinId="8"/>
    <cellStyle name="Hyperlink 2" xfId="6" xr:uid="{E0BFAE25-0E5D-1946-AFAA-21E72172970C}"/>
    <cellStyle name="Komma" xfId="2" builtinId="3"/>
    <cellStyle name="Procent" xfId="3" builtinId="5"/>
    <cellStyle name="Standaard" xfId="0" builtinId="0"/>
    <cellStyle name="Standaard 2" xfId="5" xr:uid="{7EB48009-3726-5546-B3A4-71D262B5A94A}"/>
    <cellStyle name="Valuta" xfId="4" builtinId="4"/>
  </cellStyles>
  <dxfs count="0"/>
  <tableStyles count="0" defaultTableStyle="TableStyleMedium2" defaultPivotStyle="PivotStyleLight16"/>
  <colors>
    <mruColors>
      <color rgb="FF93FF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38100</xdr:rowOff>
    </xdr:from>
    <xdr:to>
      <xdr:col>0</xdr:col>
      <xdr:colOff>3676650</xdr:colOff>
      <xdr:row>17</xdr:row>
      <xdr:rowOff>167099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13453" t="69849"/>
        <a:stretch>
          <a:fillRect/>
        </a:stretch>
      </xdr:blipFill>
      <xdr:spPr bwMode="auto">
        <a:xfrm>
          <a:off x="0" y="3124200"/>
          <a:ext cx="3676650" cy="890999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oneCellAnchor>
    <xdr:from>
      <xdr:col>0</xdr:col>
      <xdr:colOff>0</xdr:colOff>
      <xdr:row>8</xdr:row>
      <xdr:rowOff>133350</xdr:rowOff>
    </xdr:from>
    <xdr:ext cx="2663825" cy="699218"/>
    <xdr:pic>
      <xdr:nvPicPr>
        <xdr:cNvPr id="3" name="Afbeelding 2">
          <a:extLst>
            <a:ext uri="{FF2B5EF4-FFF2-40B4-BE49-F238E27FC236}">
              <a16:creationId xmlns:a16="http://schemas.microsoft.com/office/drawing/2014/main" id="{FB96173E-F9FB-4FFA-8A8A-38637C2B8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257425"/>
          <a:ext cx="2663825" cy="69921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60325</xdr:rowOff>
    </xdr:from>
    <xdr:ext cx="2663825" cy="699218"/>
    <xdr:pic>
      <xdr:nvPicPr>
        <xdr:cNvPr id="2" name="Afbeelding 1">
          <a:extLst>
            <a:ext uri="{FF2B5EF4-FFF2-40B4-BE49-F238E27FC236}">
              <a16:creationId xmlns:a16="http://schemas.microsoft.com/office/drawing/2014/main" id="{0C3684DA-15DC-9C40-939C-22EAFE39F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600" y="60325"/>
          <a:ext cx="2663825" cy="699218"/>
        </a:xfrm>
        <a:prstGeom prst="rect">
          <a:avLst/>
        </a:prstGeom>
      </xdr:spPr>
    </xdr:pic>
    <xdr:clientData/>
  </xdr:oneCellAnchor>
  <xdr:twoCellAnchor>
    <xdr:from>
      <xdr:col>0</xdr:col>
      <xdr:colOff>142875</xdr:colOff>
      <xdr:row>16</xdr:row>
      <xdr:rowOff>142875</xdr:rowOff>
    </xdr:from>
    <xdr:to>
      <xdr:col>4</xdr:col>
      <xdr:colOff>0</xdr:colOff>
      <xdr:row>44</xdr:row>
      <xdr:rowOff>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99F77277-0F9A-4742-B7A4-0A9A56AEB445}"/>
            </a:ext>
          </a:extLst>
        </xdr:cNvPr>
        <xdr:cNvSpPr txBox="1"/>
      </xdr:nvSpPr>
      <xdr:spPr>
        <a:xfrm>
          <a:off x="142875" y="3238500"/>
          <a:ext cx="2581275" cy="5219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="1"/>
            <a:t>Opmerking</a:t>
          </a:r>
          <a:endParaRPr lang="nl-NL" sz="1100"/>
        </a:p>
        <a:p>
          <a:r>
            <a:rPr lang="nl-NL" sz="1100"/>
            <a:t>De beste manier om oplossingen financieel te vergelijk is om de jaarlijkse</a:t>
          </a:r>
          <a:r>
            <a:rPr lang="nl-NL" sz="1100" baseline="0"/>
            <a:t> kosten van eigenaarschap over de gemiddelde levensduur van de installatie te nemen. Over het algemeen wordt 15 jaar genomen.</a:t>
          </a:r>
        </a:p>
        <a:p>
          <a:endParaRPr lang="nl-NL" sz="1100" baseline="0"/>
        </a:p>
        <a:p>
          <a:r>
            <a:rPr lang="nl-NL" sz="1100" b="1" i="0" baseline="0"/>
            <a:t>Aandachtspunten</a:t>
          </a:r>
          <a:endParaRPr lang="nl-NL" sz="1100" baseline="0"/>
        </a:p>
        <a:p>
          <a:r>
            <a:rPr lang="nl-NL" sz="1100" baseline="0"/>
            <a:t>1. Een bodembron gaat over het algemeen 25-30 jaar mee.</a:t>
          </a:r>
        </a:p>
        <a:p>
          <a:r>
            <a:rPr lang="nl-NL" sz="1100" baseline="0"/>
            <a:t>2. De prijs van energie kan sterk verschillen per moment van doorrekenen en het contract dat inwoner met de energieleveranciers hebben.</a:t>
          </a:r>
        </a:p>
        <a:p>
          <a:r>
            <a:rPr lang="nl-NL" sz="1100" baseline="0"/>
            <a:t>3. </a:t>
          </a:r>
          <a:r>
            <a:rPr lang="nl-NL" sz="1100"/>
            <a:t>Isolatiekosten en kosten van inductiekoken zijn in deze opties allemaal meegenomen. Dus ook de besparing op het oorspronkelijk gasverbruik (G) is verwerkt</a:t>
          </a:r>
          <a:r>
            <a:rPr lang="nl-NL" sz="1100" baseline="0"/>
            <a:t> in de vergelijking.</a:t>
          </a:r>
          <a:endParaRPr lang="nl-NL" sz="1100"/>
        </a:p>
        <a:p>
          <a:r>
            <a:rPr lang="nl-NL" sz="1100"/>
            <a:t>4.</a:t>
          </a:r>
          <a:r>
            <a:rPr lang="nl-NL" sz="1100" baseline="0"/>
            <a:t> </a:t>
          </a:r>
          <a:r>
            <a:rPr lang="nl-NL" sz="1100"/>
            <a:t>Voor de variant Bodem WP MWN collectief dient nog rekening gehouden te worden met aanvullende kosten voor een technische ruimte en een collectieve energieaansluiting.</a:t>
          </a:r>
        </a:p>
        <a:p>
          <a:r>
            <a:rPr lang="nl-NL" sz="1100"/>
            <a:t>Deze kosten zijn in het model </a:t>
          </a:r>
          <a:r>
            <a:rPr lang="nl-NL" sz="1100" b="1"/>
            <a:t>niet</a:t>
          </a:r>
          <a:r>
            <a:rPr lang="nl-NL" sz="1100"/>
            <a:t> meegenomen.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288926</xdr:colOff>
      <xdr:row>0</xdr:row>
      <xdr:rowOff>19050</xdr:rowOff>
    </xdr:from>
    <xdr:ext cx="2663825" cy="699218"/>
    <xdr:pic>
      <xdr:nvPicPr>
        <xdr:cNvPr id="2" name="Afbeelding 1">
          <a:extLst>
            <a:ext uri="{FF2B5EF4-FFF2-40B4-BE49-F238E27FC236}">
              <a16:creationId xmlns:a16="http://schemas.microsoft.com/office/drawing/2014/main" id="{B12B8530-3381-0243-9517-A9A70464C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8926" y="19050"/>
          <a:ext cx="2663825" cy="69921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plw.nl/warmte-en-ruimte/ruimtetool" TargetMode="External"/><Relationship Id="rId1" Type="http://schemas.openxmlformats.org/officeDocument/2006/relationships/hyperlink" Target="https://energiebreed.nl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vo.nl/sites/default/files/2023-12/19-12-2023-ISDE-Meldcodelijst-Warmtepompen.pdf" TargetMode="External"/><Relationship Id="rId2" Type="http://schemas.openxmlformats.org/officeDocument/2006/relationships/hyperlink" Target="https://www.energiewacht.nl/kennisbank/warmtepompen/alles-over-de-warmtepomp" TargetMode="External"/><Relationship Id="rId1" Type="http://schemas.openxmlformats.org/officeDocument/2006/relationships/hyperlink" Target="https://cvketelcollectief.consumentenbond.nl/intergas-hrea2824" TargetMode="External"/><Relationship Id="rId5" Type="http://schemas.openxmlformats.org/officeDocument/2006/relationships/hyperlink" Target="https://www.akoestiekwinkel.nl/dice-05" TargetMode="External"/><Relationship Id="rId4" Type="http://schemas.openxmlformats.org/officeDocument/2006/relationships/hyperlink" Target="https://www.energiewacht.nl/kennisbank/warmtepompen/alles-over-de-warmtepom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workbookViewId="0">
      <selection activeCell="A22" sqref="A22"/>
    </sheetView>
  </sheetViews>
  <sheetFormatPr defaultColWidth="8.85546875" defaultRowHeight="15" x14ac:dyDescent="0.25"/>
  <cols>
    <col min="1" max="1" width="112.85546875" style="150" customWidth="1"/>
    <col min="2" max="2" width="83.85546875" customWidth="1"/>
  </cols>
  <sheetData>
    <row r="1" spans="1:4" x14ac:dyDescent="0.25">
      <c r="A1" s="149" t="s">
        <v>359</v>
      </c>
    </row>
    <row r="3" spans="1:4" ht="30" x14ac:dyDescent="0.25">
      <c r="A3" s="151" t="s">
        <v>360</v>
      </c>
    </row>
    <row r="4" spans="1:4" ht="45" x14ac:dyDescent="0.25">
      <c r="A4" s="151" t="s">
        <v>362</v>
      </c>
    </row>
    <row r="6" spans="1:4" ht="15.75" x14ac:dyDescent="0.25">
      <c r="A6" s="155" t="s">
        <v>350</v>
      </c>
      <c r="B6" s="93"/>
      <c r="C6" s="93"/>
      <c r="D6" s="93"/>
    </row>
    <row r="7" spans="1:4" ht="15.75" x14ac:dyDescent="0.25">
      <c r="A7" s="94" t="s">
        <v>318</v>
      </c>
      <c r="B7" s="93"/>
      <c r="C7" s="93"/>
      <c r="D7" s="93"/>
    </row>
    <row r="8" spans="1:4" ht="15.75" x14ac:dyDescent="0.25">
      <c r="A8" s="40" t="s">
        <v>357</v>
      </c>
      <c r="B8" s="93"/>
      <c r="C8" s="93"/>
      <c r="D8" s="144" t="s">
        <v>358</v>
      </c>
    </row>
    <row r="9" spans="1:4" ht="15.75" x14ac:dyDescent="0.25">
      <c r="A9" s="40"/>
      <c r="B9" s="93"/>
      <c r="C9" s="93"/>
      <c r="D9" s="144"/>
    </row>
    <row r="20" spans="1:1" ht="30" x14ac:dyDescent="0.25">
      <c r="A20" s="151" t="s">
        <v>361</v>
      </c>
    </row>
    <row r="22" spans="1:1" x14ac:dyDescent="0.25">
      <c r="A22" s="152" t="s">
        <v>364</v>
      </c>
    </row>
    <row r="39" spans="1:1" x14ac:dyDescent="0.25">
      <c r="A39" s="152"/>
    </row>
    <row r="44" spans="1:1" x14ac:dyDescent="0.25">
      <c r="A44" s="152"/>
    </row>
    <row r="45" spans="1:1" x14ac:dyDescent="0.25">
      <c r="A45" s="152"/>
    </row>
    <row r="46" spans="1:1" x14ac:dyDescent="0.25">
      <c r="A46" s="152"/>
    </row>
  </sheetData>
  <hyperlinks>
    <hyperlink ref="A7" r:id="rId1" xr:uid="{F18CAB5E-2A96-4D1F-B455-AA246D727861}"/>
    <hyperlink ref="A8" r:id="rId2" display="https://www.nplw.nl/warmte-en-ruimte/ruimtetool" xr:uid="{BFC0FB70-7F4D-4377-BEF7-2C8214254737}"/>
  </hyperlinks>
  <pageMargins left="0.7" right="0.7" top="0.75" bottom="0.75" header="0.3" footer="0.3"/>
  <pageSetup paperSize="9" firstPageNumber="4294967295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7C2FE-4AB5-B94A-BAC7-1DE112FBB224}">
  <sheetPr>
    <pageSetUpPr fitToPage="1"/>
  </sheetPr>
  <dimension ref="B4:N46"/>
  <sheetViews>
    <sheetView workbookViewId="0">
      <selection activeCell="F4" sqref="F4:H4"/>
    </sheetView>
  </sheetViews>
  <sheetFormatPr defaultColWidth="10.85546875" defaultRowHeight="15" x14ac:dyDescent="0.25"/>
  <cols>
    <col min="1" max="1" width="3.85546875" style="113" customWidth="1"/>
    <col min="2" max="2" width="23.7109375" style="113" bestFit="1" customWidth="1"/>
    <col min="3" max="3" width="6.85546875" style="113" customWidth="1"/>
    <col min="4" max="4" width="6.42578125" style="113" bestFit="1" customWidth="1"/>
    <col min="5" max="5" width="4.42578125" style="113" customWidth="1"/>
    <col min="6" max="6" width="22.7109375" style="113" bestFit="1" customWidth="1"/>
    <col min="7" max="7" width="8" style="113" bestFit="1" customWidth="1"/>
    <col min="8" max="8" width="8.85546875" style="113" customWidth="1"/>
    <col min="9" max="11" width="18" style="113" customWidth="1"/>
    <col min="12" max="12" width="22" style="113" customWidth="1"/>
    <col min="13" max="13" width="21.140625" style="113" customWidth="1"/>
    <col min="14" max="14" width="1.28515625" style="113" customWidth="1"/>
    <col min="15" max="16384" width="10.85546875" style="113"/>
  </cols>
  <sheetData>
    <row r="4" spans="2:14" x14ac:dyDescent="0.25">
      <c r="F4" s="161" t="str">
        <f>'Isolatie+'!A3</f>
        <v>Type woning</v>
      </c>
      <c r="G4" s="161" t="str">
        <f>'Isolatie+'!B3</f>
        <v>Jaren '90, tussenwoning</v>
      </c>
    </row>
    <row r="5" spans="2:14" ht="15.75" thickBot="1" x14ac:dyDescent="0.3"/>
    <row r="6" spans="2:14" x14ac:dyDescent="0.25">
      <c r="B6" s="117"/>
      <c r="C6" s="118"/>
      <c r="D6" s="119"/>
      <c r="F6" s="117"/>
      <c r="G6" s="118"/>
      <c r="H6" s="118"/>
      <c r="I6" s="162" t="str">
        <f>'Business case'!E12</f>
        <v>Bodem WP Indi</v>
      </c>
      <c r="J6" s="162" t="str">
        <f>'Business case'!F12</f>
        <v>Lucht WP indi</v>
      </c>
      <c r="K6" s="162" t="str">
        <f>'Business case'!G12</f>
        <v>PVT WP   indi</v>
      </c>
      <c r="L6" s="162" t="str">
        <f>'Business case'!C12</f>
        <v>Bodem WP MWN coll</v>
      </c>
      <c r="M6" s="162" t="str">
        <f>'Business case'!D12</f>
        <v>Bodem WP MWN Indi</v>
      </c>
      <c r="N6" s="119"/>
    </row>
    <row r="7" spans="2:14" ht="21" customHeight="1" x14ac:dyDescent="0.25">
      <c r="B7" s="120" t="s">
        <v>348</v>
      </c>
      <c r="D7" s="121"/>
      <c r="F7" s="120" t="s">
        <v>349</v>
      </c>
      <c r="I7" s="163"/>
      <c r="J7" s="163"/>
      <c r="K7" s="163"/>
      <c r="L7" s="163"/>
      <c r="M7" s="163"/>
      <c r="N7" s="121"/>
    </row>
    <row r="8" spans="2:14" x14ac:dyDescent="0.25">
      <c r="B8" s="122" t="str">
        <f>'Business case'!A1</f>
        <v>Verbruik G</v>
      </c>
      <c r="C8" s="113">
        <f>'Business case'!C1</f>
        <v>750</v>
      </c>
      <c r="D8" s="121" t="str">
        <f>'Business case'!B1</f>
        <v>m3</v>
      </c>
      <c r="F8" s="122" t="str">
        <f>'Business case'!A14</f>
        <v>SCOP</v>
      </c>
      <c r="I8" s="123">
        <f>'Business case'!E14</f>
        <v>4</v>
      </c>
      <c r="J8" s="123">
        <f>'Business case'!F14</f>
        <v>3.5</v>
      </c>
      <c r="K8" s="123">
        <f>'Business case'!G14</f>
        <v>4.5</v>
      </c>
      <c r="L8" s="123">
        <f>'Business case'!C14</f>
        <v>4</v>
      </c>
      <c r="M8" s="123">
        <f>'Business case'!D14</f>
        <v>4</v>
      </c>
      <c r="N8" s="121"/>
    </row>
    <row r="9" spans="2:14" x14ac:dyDescent="0.25">
      <c r="B9" s="122" t="str">
        <f>'Business case'!A2</f>
        <v>Verbruik E</v>
      </c>
      <c r="C9" s="113">
        <f>'Business case'!C2</f>
        <v>3500</v>
      </c>
      <c r="D9" s="121" t="str">
        <f>'Business case'!B2</f>
        <v>kWh</v>
      </c>
      <c r="F9" s="122" t="str">
        <f>'Business case'!A15</f>
        <v>Netto investering WP+ISO</v>
      </c>
      <c r="G9" s="113" t="str">
        <f>'Business case'!B15</f>
        <v>€</v>
      </c>
      <c r="I9" s="156">
        <f>'Business case'!E15</f>
        <v>20916.667851020407</v>
      </c>
      <c r="J9" s="156">
        <f>'Business case'!F15</f>
        <v>17994.099999999999</v>
      </c>
      <c r="K9" s="156">
        <f>'Business case'!G15</f>
        <v>23307.473898809523</v>
      </c>
      <c r="L9" s="156">
        <f>'Business case'!C15</f>
        <v>16960.94682142857</v>
      </c>
      <c r="M9" s="156">
        <f>'Business case'!D15</f>
        <v>18274.576351428572</v>
      </c>
      <c r="N9" s="121"/>
    </row>
    <row r="10" spans="2:14" x14ac:dyDescent="0.25">
      <c r="B10" s="122" t="str">
        <f>'Business case'!A3</f>
        <v>Besparing G Isolatie</v>
      </c>
      <c r="C10" s="137">
        <f>'Business case'!C3</f>
        <v>0.18479999999999999</v>
      </c>
      <c r="D10" s="121" t="str">
        <f>'Business case'!B3</f>
        <v>%</v>
      </c>
      <c r="F10" s="122" t="str">
        <f>'Business case'!A16</f>
        <v>PV gelijktijdigheid</v>
      </c>
      <c r="G10" s="113" t="str">
        <f>'Business case'!B16</f>
        <v>%</v>
      </c>
      <c r="I10" s="125">
        <f>'Business case'!E16</f>
        <v>0.4</v>
      </c>
      <c r="J10" s="125">
        <f>'Business case'!F16</f>
        <v>0.4</v>
      </c>
      <c r="K10" s="125">
        <f>'Business case'!G16</f>
        <v>0.4</v>
      </c>
      <c r="L10" s="125">
        <f>'Business case'!C16</f>
        <v>0.4</v>
      </c>
      <c r="M10" s="125">
        <f>'Business case'!D16</f>
        <v>0.4</v>
      </c>
      <c r="N10" s="121"/>
    </row>
    <row r="11" spans="2:14" x14ac:dyDescent="0.25">
      <c r="B11" s="122" t="str">
        <f>'Business case'!A4</f>
        <v>Besparing G WP</v>
      </c>
      <c r="C11" s="137">
        <f>'Business case'!C4</f>
        <v>1</v>
      </c>
      <c r="D11" s="121" t="str">
        <f>'Business case'!B4</f>
        <v>%</v>
      </c>
      <c r="F11" s="122" t="str">
        <f>'Business case'!A17</f>
        <v>Rente</v>
      </c>
      <c r="I11" s="126">
        <f>'Business case'!E17</f>
        <v>2.8410099999999997E-2</v>
      </c>
      <c r="J11" s="126">
        <f>'Business case'!F17</f>
        <v>2.8410099999999997E-2</v>
      </c>
      <c r="K11" s="126">
        <f>'Business case'!G17</f>
        <v>2.8410099999999997E-2</v>
      </c>
      <c r="L11" s="126">
        <f>'Business case'!C17</f>
        <v>2.8410099999999997E-2</v>
      </c>
      <c r="M11" s="126">
        <f>'Business case'!D17</f>
        <v>2.8410099999999997E-2</v>
      </c>
      <c r="N11" s="121"/>
    </row>
    <row r="12" spans="2:14" x14ac:dyDescent="0.25">
      <c r="B12" s="122" t="str">
        <f>'Business case'!A5</f>
        <v>Start</v>
      </c>
      <c r="C12" s="113">
        <f>'Business case'!C5</f>
        <v>2025</v>
      </c>
      <c r="D12" s="121"/>
      <c r="F12" s="122" t="str">
        <f>'Business case'!A18</f>
        <v>Inkoopkorting WP collectief</v>
      </c>
      <c r="I12" s="127"/>
      <c r="J12" s="127"/>
      <c r="K12" s="127"/>
      <c r="L12" s="127"/>
      <c r="M12" s="128">
        <f>'Business case'!D18</f>
        <v>0.15</v>
      </c>
      <c r="N12" s="121"/>
    </row>
    <row r="13" spans="2:14" x14ac:dyDescent="0.25">
      <c r="B13" s="122" t="str">
        <f>'Business case'!A6</f>
        <v>Levensduur WP</v>
      </c>
      <c r="C13" s="113">
        <f>'Business case'!C6</f>
        <v>15</v>
      </c>
      <c r="D13" s="121" t="str">
        <f>'Business case'!B6</f>
        <v>jr</v>
      </c>
      <c r="F13" s="122" t="str">
        <f>'Business case'!A19</f>
        <v>PV opwek kWh/jr</v>
      </c>
      <c r="G13" s="113" t="str">
        <f>'Business case'!B19</f>
        <v>kWh/jr</v>
      </c>
      <c r="I13" s="129">
        <f>'Business case'!E19</f>
        <v>1452.075</v>
      </c>
      <c r="J13" s="129">
        <f>'Business case'!F19</f>
        <v>1659.5142857142857</v>
      </c>
      <c r="K13" s="129">
        <f>'Business case'!G19</f>
        <v>1290.7333333333333</v>
      </c>
      <c r="L13" s="129">
        <f>'Business case'!C19</f>
        <v>1452.075</v>
      </c>
      <c r="M13" s="129">
        <f>'Business case'!D19</f>
        <v>1452.075</v>
      </c>
      <c r="N13" s="121"/>
    </row>
    <row r="14" spans="2:14" x14ac:dyDescent="0.25">
      <c r="B14" s="122"/>
      <c r="D14" s="121"/>
      <c r="F14" s="122" t="str">
        <f>'Business case'!A20</f>
        <v>PV investering</v>
      </c>
      <c r="G14" s="113" t="str">
        <f>'Business case'!B20</f>
        <v>€/kWh/jr</v>
      </c>
      <c r="I14" s="124">
        <f>'Business case'!E20</f>
        <v>0.95</v>
      </c>
      <c r="J14" s="124">
        <f>'Business case'!F20</f>
        <v>0.95</v>
      </c>
      <c r="K14" s="124">
        <f>'Business case'!G20</f>
        <v>0.95</v>
      </c>
      <c r="L14" s="124">
        <f>'Business case'!C20</f>
        <v>0.95</v>
      </c>
      <c r="M14" s="124">
        <f>'Business case'!D20</f>
        <v>0.95</v>
      </c>
      <c r="N14" s="121"/>
    </row>
    <row r="15" spans="2:14" ht="15.75" thickBot="1" x14ac:dyDescent="0.3">
      <c r="B15" s="132" t="str">
        <f>'Business case'!A8</f>
        <v>Prijs scenario</v>
      </c>
      <c r="C15" s="138" t="str">
        <f>'Business case'!C8</f>
        <v>Middel</v>
      </c>
      <c r="D15" s="136"/>
      <c r="F15" s="122" t="str">
        <f>'Business case'!A21</f>
        <v>Projectkosten / onvoorzien</v>
      </c>
      <c r="I15" s="125">
        <f>'Business case'!E21</f>
        <v>0.1</v>
      </c>
      <c r="J15" s="125">
        <f>'Business case'!F21</f>
        <v>0.1</v>
      </c>
      <c r="K15" s="125">
        <f>'Business case'!G21</f>
        <v>0.1</v>
      </c>
      <c r="L15" s="125">
        <f>'Business case'!C21</f>
        <v>0.1</v>
      </c>
      <c r="M15" s="125">
        <f>'Business case'!D21</f>
        <v>0.1</v>
      </c>
      <c r="N15" s="121"/>
    </row>
    <row r="16" spans="2:14" x14ac:dyDescent="0.25">
      <c r="F16" s="122" t="str">
        <f>'Business case'!A22</f>
        <v>Aantal woningen collectief</v>
      </c>
      <c r="I16" s="127"/>
      <c r="J16" s="127"/>
      <c r="K16" s="127"/>
      <c r="L16" s="130">
        <f>'Business case'!C22</f>
        <v>10</v>
      </c>
      <c r="M16" s="130">
        <f>'Business case'!D22</f>
        <v>10</v>
      </c>
      <c r="N16" s="121"/>
    </row>
    <row r="17" spans="6:14" x14ac:dyDescent="0.25">
      <c r="F17" s="122" t="str">
        <f>'Business case'!A26</f>
        <v>Interferentie bij individueel</v>
      </c>
      <c r="I17" s="130" t="str">
        <f>'Business case'!E26</f>
        <v>J</v>
      </c>
      <c r="J17" s="127"/>
      <c r="K17" s="127"/>
      <c r="L17" s="127"/>
      <c r="M17" s="127"/>
      <c r="N17" s="121"/>
    </row>
    <row r="18" spans="6:14" x14ac:dyDescent="0.25">
      <c r="F18" s="122" t="str">
        <f>'Business case'!A27</f>
        <v>Geluidskast</v>
      </c>
      <c r="I18" s="127"/>
      <c r="J18" s="130" t="str">
        <f>'Business case'!F27</f>
        <v>J</v>
      </c>
      <c r="K18" s="127"/>
      <c r="L18" s="127"/>
      <c r="M18" s="127"/>
      <c r="N18" s="121"/>
    </row>
    <row r="19" spans="6:14" ht="15" customHeight="1" x14ac:dyDescent="0.25">
      <c r="F19" s="122"/>
      <c r="N19" s="121"/>
    </row>
    <row r="20" spans="6:14" ht="15.75" x14ac:dyDescent="0.25">
      <c r="F20" s="120" t="str">
        <f>'Business case'!J1</f>
        <v>Totaal kosten over afschrijvingsperiode warmtepomp</v>
      </c>
      <c r="N20" s="121"/>
    </row>
    <row r="21" spans="6:14" ht="15.75" x14ac:dyDescent="0.25">
      <c r="F21" s="120"/>
      <c r="N21" s="121"/>
    </row>
    <row r="22" spans="6:14" x14ac:dyDescent="0.25">
      <c r="F22" s="122"/>
      <c r="H22" s="154" t="str">
        <f>'Business case'!L2</f>
        <v>Gasketel</v>
      </c>
      <c r="I22" s="154" t="str">
        <f>'Business case'!M2</f>
        <v>Bodem WP Indi</v>
      </c>
      <c r="J22" s="154" t="str">
        <f>'Business case'!N2</f>
        <v>Lucht WP indi</v>
      </c>
      <c r="K22" s="154" t="str">
        <f>'Business case'!O2</f>
        <v>PVT WP   indi</v>
      </c>
      <c r="L22" s="154" t="str">
        <f>'Business case'!P2</f>
        <v>Bodem WP MWN coll</v>
      </c>
      <c r="M22" s="154" t="str">
        <f>'Business case'!Q2</f>
        <v>Bodem WP MWN Indi</v>
      </c>
      <c r="N22" s="121"/>
    </row>
    <row r="23" spans="6:14" x14ac:dyDescent="0.25">
      <c r="F23" s="122" t="str">
        <f>'Business case'!J4</f>
        <v>G/W kosten</v>
      </c>
      <c r="H23" s="115">
        <f>'Business case'!L4</f>
        <v>14989.808346013273</v>
      </c>
      <c r="I23" s="115"/>
      <c r="J23" s="115"/>
      <c r="K23" s="115"/>
      <c r="L23" s="115"/>
      <c r="M23" s="115"/>
      <c r="N23" s="121"/>
    </row>
    <row r="24" spans="6:14" x14ac:dyDescent="0.25">
      <c r="F24" s="122" t="str">
        <f>'Business case'!J5</f>
        <v>E kosten G/WP*</v>
      </c>
      <c r="H24" s="115">
        <f>'Business case'!L5</f>
        <v>1459.1426856523817</v>
      </c>
      <c r="I24" s="115">
        <f>'Business case'!M5</f>
        <v>5296.9615381717049</v>
      </c>
      <c r="J24" s="115">
        <f>'Business case'!N5</f>
        <v>6053.6703293390919</v>
      </c>
      <c r="K24" s="115">
        <f>'Business case'!O5</f>
        <v>4708.410256152627</v>
      </c>
      <c r="L24" s="115">
        <f>'Business case'!P5</f>
        <v>5296.9615381717049</v>
      </c>
      <c r="M24" s="115">
        <f>'Business case'!Q5</f>
        <v>5296.9615381717049</v>
      </c>
      <c r="N24" s="121"/>
    </row>
    <row r="25" spans="6:14" x14ac:dyDescent="0.25">
      <c r="F25" s="122" t="str">
        <f>'Business case'!J6</f>
        <v>CV financiering</v>
      </c>
      <c r="H25" s="115">
        <f>'Business case'!L6</f>
        <v>2222.3158499264314</v>
      </c>
      <c r="I25" s="115"/>
      <c r="J25" s="115"/>
      <c r="K25" s="115"/>
      <c r="L25" s="115"/>
      <c r="M25" s="115"/>
      <c r="N25" s="121"/>
    </row>
    <row r="26" spans="6:14" x14ac:dyDescent="0.25">
      <c r="F26" s="122" t="str">
        <f>'Business case'!J7</f>
        <v>CV onderhoud</v>
      </c>
      <c r="H26" s="115">
        <f>'Business case'!L7</f>
        <v>2523.3585532781181</v>
      </c>
      <c r="I26" s="115"/>
      <c r="J26" s="115"/>
      <c r="K26" s="115"/>
      <c r="L26" s="115"/>
      <c r="M26" s="115"/>
      <c r="N26" s="121"/>
    </row>
    <row r="27" spans="6:14" x14ac:dyDescent="0.25">
      <c r="F27" s="122" t="str">
        <f>'Business case'!J8</f>
        <v>Vaste kosten G/W</v>
      </c>
      <c r="H27" s="115">
        <f>'Business case'!L8</f>
        <v>5089.5070727028533</v>
      </c>
      <c r="I27" s="115"/>
      <c r="J27" s="115"/>
      <c r="K27" s="115"/>
      <c r="L27" s="115"/>
      <c r="M27" s="115"/>
      <c r="N27" s="121"/>
    </row>
    <row r="28" spans="6:14" x14ac:dyDescent="0.25">
      <c r="F28" s="122" t="str">
        <f>'Business case'!J9</f>
        <v>WP+ISO financiering</v>
      </c>
      <c r="H28" s="115"/>
      <c r="I28" s="131">
        <f>'Business case'!M9</f>
        <v>25262.740485309383</v>
      </c>
      <c r="J28" s="131">
        <f>'Business case'!N9</f>
        <v>21732.920453891962</v>
      </c>
      <c r="K28" s="131">
        <f>'Business case'!O9</f>
        <v>28150.309058190775</v>
      </c>
      <c r="L28" s="131">
        <f>'Business case'!P9</f>
        <v>20485.098342945676</v>
      </c>
      <c r="M28" s="131">
        <f>'Business case'!Q9</f>
        <v>22071.674280690459</v>
      </c>
      <c r="N28" s="121"/>
    </row>
    <row r="29" spans="6:14" x14ac:dyDescent="0.25">
      <c r="F29" s="122" t="str">
        <f>'Business case'!J10</f>
        <v>WP onderhoud</v>
      </c>
      <c r="H29" s="115"/>
      <c r="I29" s="115">
        <f>'Business case'!M10</f>
        <v>2645.8927881795912</v>
      </c>
      <c r="J29" s="115">
        <f>'Business case'!N10</f>
        <v>2645.8927881795912</v>
      </c>
      <c r="K29" s="115">
        <f>'Business case'!O10</f>
        <v>2645.8927881795912</v>
      </c>
      <c r="L29" s="115">
        <f>'Business case'!P10</f>
        <v>2645.8927881795912</v>
      </c>
      <c r="M29" s="115">
        <f>'Business case'!Q10</f>
        <v>2645.8927881795912</v>
      </c>
      <c r="N29" s="121"/>
    </row>
    <row r="30" spans="6:14" x14ac:dyDescent="0.25">
      <c r="F30" s="122"/>
      <c r="H30" s="115"/>
      <c r="I30" s="115"/>
      <c r="J30" s="115"/>
      <c r="K30" s="115"/>
      <c r="L30" s="115"/>
      <c r="M30" s="115"/>
      <c r="N30" s="121"/>
    </row>
    <row r="31" spans="6:14" x14ac:dyDescent="0.25">
      <c r="F31" s="122" t="str">
        <f>'Business case'!J12</f>
        <v>PV(T) opbrengst €</v>
      </c>
      <c r="H31" s="115"/>
      <c r="I31" s="115">
        <f>'Business case'!M12</f>
        <v>-4021.2376934323133</v>
      </c>
      <c r="J31" s="115">
        <f>'Business case'!N12</f>
        <v>-4595.700221065501</v>
      </c>
      <c r="K31" s="115">
        <f>'Business case'!O12</f>
        <v>-3574.4335052731672</v>
      </c>
      <c r="L31" s="115">
        <f>'Business case'!P12</f>
        <v>-4021.2376934323133</v>
      </c>
      <c r="M31" s="115">
        <f>'Business case'!Q12</f>
        <v>-4021.2376934323133</v>
      </c>
      <c r="N31" s="121"/>
    </row>
    <row r="32" spans="6:14" x14ac:dyDescent="0.25">
      <c r="F32" s="122" t="str">
        <f>'Business case'!J13</f>
        <v>PV(T) financiering</v>
      </c>
      <c r="H32" s="115"/>
      <c r="I32" s="115">
        <f>'Business case'!M13</f>
        <v>1666.0982735830587</v>
      </c>
      <c r="J32" s="115">
        <f>'Business case'!N13</f>
        <v>1904.1123126663526</v>
      </c>
      <c r="K32" s="115">
        <f>'Business case'!O13</f>
        <v>1480.976243184941</v>
      </c>
      <c r="L32" s="115">
        <f>'Business case'!P13</f>
        <v>1666.0982735830587</v>
      </c>
      <c r="M32" s="115">
        <f>'Business case'!Q13</f>
        <v>1666.0982735830587</v>
      </c>
      <c r="N32" s="121"/>
    </row>
    <row r="33" spans="6:14" x14ac:dyDescent="0.25">
      <c r="F33" s="122" t="str">
        <f>'Business case'!J14</f>
        <v>PV(T) onderhoud</v>
      </c>
      <c r="H33" s="115"/>
      <c r="I33" s="115">
        <f>'Business case'!M14</f>
        <v>440.98213136326524</v>
      </c>
      <c r="J33" s="115">
        <f>'Business case'!N14</f>
        <v>440.98213136326524</v>
      </c>
      <c r="K33" s="115">
        <f>'Business case'!O14</f>
        <v>440.98213136326524</v>
      </c>
      <c r="L33" s="115">
        <f>'Business case'!P14</f>
        <v>440.98213136326524</v>
      </c>
      <c r="M33" s="115">
        <f>'Business case'!Q14</f>
        <v>440.98213136326524</v>
      </c>
      <c r="N33" s="121"/>
    </row>
    <row r="34" spans="6:14" x14ac:dyDescent="0.25">
      <c r="F34" s="157" t="str">
        <f>'Business case'!J15</f>
        <v>Totaal over levensduur</v>
      </c>
      <c r="G34" s="158"/>
      <c r="H34" s="159">
        <f>'Business case'!L15</f>
        <v>26284.13250757306</v>
      </c>
      <c r="I34" s="159">
        <f>'Business case'!M15</f>
        <v>31291.437523174689</v>
      </c>
      <c r="J34" s="159">
        <f>'Business case'!N15</f>
        <v>28181.877794374759</v>
      </c>
      <c r="K34" s="159">
        <f>'Business case'!O15</f>
        <v>33852.136971798027</v>
      </c>
      <c r="L34" s="159">
        <f>'Business case'!P15</f>
        <v>26513.795380810978</v>
      </c>
      <c r="M34" s="159">
        <f>'Business case'!Q15</f>
        <v>28100.371318555761</v>
      </c>
      <c r="N34" s="160"/>
    </row>
    <row r="35" spans="6:14" x14ac:dyDescent="0.25">
      <c r="F35" s="157" t="str">
        <f>'Business case'!J16</f>
        <v>TCO/jr</v>
      </c>
      <c r="G35" s="158"/>
      <c r="H35" s="159">
        <f>'Business case'!L16</f>
        <v>1752.2755005048707</v>
      </c>
      <c r="I35" s="159">
        <f>'Business case'!M16</f>
        <v>2086.0958348783124</v>
      </c>
      <c r="J35" s="159">
        <f>'Business case'!N16</f>
        <v>1878.7918529583173</v>
      </c>
      <c r="K35" s="159">
        <f>'Business case'!O16</f>
        <v>2256.8091314532016</v>
      </c>
      <c r="L35" s="159">
        <f>'Business case'!P16</f>
        <v>1767.5863587207318</v>
      </c>
      <c r="M35" s="159">
        <f>'Business case'!Q16</f>
        <v>1873.3580879037174</v>
      </c>
      <c r="N35" s="160"/>
    </row>
    <row r="36" spans="6:14" x14ac:dyDescent="0.25">
      <c r="F36" s="157" t="str">
        <f>'Business case'!J17</f>
        <v>jaarlijkse lasten</v>
      </c>
      <c r="G36" s="158"/>
      <c r="H36" s="159">
        <f>'Business case'!L17</f>
        <v>1604.1211105097752</v>
      </c>
      <c r="I36" s="159">
        <f>'Business case'!M17</f>
        <v>290.83991761881651</v>
      </c>
      <c r="J36" s="159">
        <f>'Business case'!N17</f>
        <v>302.98966852109629</v>
      </c>
      <c r="K36" s="159">
        <f>'Business case'!O17</f>
        <v>281.39011136148741</v>
      </c>
      <c r="L36" s="159">
        <f>'Business case'!P17</f>
        <v>290.83991761881623</v>
      </c>
      <c r="M36" s="159">
        <f>'Business case'!Q17</f>
        <v>290.83991761881623</v>
      </c>
      <c r="N36" s="160"/>
    </row>
    <row r="37" spans="6:14" x14ac:dyDescent="0.25">
      <c r="F37" s="122"/>
      <c r="H37" s="115"/>
      <c r="I37" s="115"/>
      <c r="J37" s="115"/>
      <c r="K37" s="115"/>
      <c r="L37" s="115"/>
      <c r="M37" s="115"/>
      <c r="N37" s="121"/>
    </row>
    <row r="38" spans="6:14" x14ac:dyDescent="0.25">
      <c r="F38" s="122" t="str">
        <f>'Business case'!J19</f>
        <v>Restwaarde</v>
      </c>
      <c r="H38" s="115">
        <f>'Business case'!L19</f>
        <v>0</v>
      </c>
      <c r="I38" s="115">
        <f>'Business case'!M19</f>
        <v>3823.1072959183657</v>
      </c>
      <c r="J38" s="115">
        <f>'Business case'!N19</f>
        <v>3244.75</v>
      </c>
      <c r="K38" s="115">
        <f>'Business case'!O19</f>
        <v>3153.6125982142839</v>
      </c>
      <c r="L38" s="115">
        <f>'Business case'!P19</f>
        <v>3521.2894642857136</v>
      </c>
      <c r="M38" s="115">
        <f>'Business case'!Q19</f>
        <v>3521.2894642857154</v>
      </c>
      <c r="N38" s="121"/>
    </row>
    <row r="39" spans="6:14" x14ac:dyDescent="0.25">
      <c r="F39" s="122" t="str">
        <f>'Business case'!J20</f>
        <v>Totaal - restwaarde</v>
      </c>
      <c r="H39" s="131">
        <f>'Business case'!L20</f>
        <v>26284.13250757306</v>
      </c>
      <c r="I39" s="131">
        <f>'Business case'!M20</f>
        <v>27468.330227256323</v>
      </c>
      <c r="J39" s="131">
        <f>'Business case'!N20</f>
        <v>24937.127794374759</v>
      </c>
      <c r="K39" s="131">
        <f>'Business case'!O20</f>
        <v>30698.524373583743</v>
      </c>
      <c r="L39" s="131">
        <f>'Business case'!P20</f>
        <v>22992.505916525264</v>
      </c>
      <c r="M39" s="131">
        <f>'Business case'!Q20</f>
        <v>24579.081854270044</v>
      </c>
      <c r="N39" s="121"/>
    </row>
    <row r="40" spans="6:14" x14ac:dyDescent="0.25">
      <c r="F40" s="122"/>
      <c r="H40" s="115"/>
      <c r="I40" s="115"/>
      <c r="J40" s="115"/>
      <c r="K40" s="115"/>
      <c r="L40" s="115"/>
      <c r="M40" s="115"/>
      <c r="N40" s="121"/>
    </row>
    <row r="41" spans="6:14" x14ac:dyDescent="0.25">
      <c r="F41" s="122" t="str">
        <f>'Business case'!J22</f>
        <v>Herinvestering jr16</v>
      </c>
      <c r="H41" s="115">
        <f>'Business case'!L22</f>
        <v>2525.9256973667261</v>
      </c>
      <c r="I41" s="115">
        <f>'Business case'!M22</f>
        <v>12585.574763967996</v>
      </c>
      <c r="J41" s="115">
        <f>'Business case'!N22</f>
        <v>10965.178769717031</v>
      </c>
      <c r="K41" s="115">
        <f>'Business case'!O22</f>
        <v>12375.161607014275</v>
      </c>
      <c r="L41" s="115">
        <f>'Business case'!P22</f>
        <v>8921.8321083653736</v>
      </c>
      <c r="M41" s="115">
        <f>'Business case'!Q22</f>
        <v>10116.941317053232</v>
      </c>
      <c r="N41" s="121"/>
    </row>
    <row r="42" spans="6:14" ht="15.75" thickBot="1" x14ac:dyDescent="0.3">
      <c r="F42" s="132"/>
      <c r="G42" s="133"/>
      <c r="H42" s="133"/>
      <c r="I42" s="135"/>
      <c r="J42" s="135"/>
      <c r="K42" s="135"/>
      <c r="L42" s="134"/>
      <c r="M42" s="134"/>
      <c r="N42" s="136"/>
    </row>
    <row r="43" spans="6:14" x14ac:dyDescent="0.25">
      <c r="I43" s="115"/>
      <c r="J43" s="115"/>
      <c r="K43" s="115"/>
      <c r="L43" s="116"/>
      <c r="M43" s="116"/>
    </row>
    <row r="44" spans="6:14" x14ac:dyDescent="0.25">
      <c r="I44" s="115"/>
      <c r="J44" s="115"/>
      <c r="K44" s="115"/>
      <c r="L44" s="116"/>
      <c r="M44" s="116"/>
    </row>
    <row r="45" spans="6:14" x14ac:dyDescent="0.25">
      <c r="F45" s="153"/>
      <c r="I45" s="114"/>
      <c r="J45" s="114"/>
      <c r="K45" s="114"/>
      <c r="L45" s="116"/>
      <c r="M45" s="116"/>
    </row>
    <row r="46" spans="6:14" x14ac:dyDescent="0.25">
      <c r="F46" s="153"/>
    </row>
  </sheetData>
  <mergeCells count="5">
    <mergeCell ref="L6:L7"/>
    <mergeCell ref="M6:M7"/>
    <mergeCell ref="I6:I7"/>
    <mergeCell ref="J6:J7"/>
    <mergeCell ref="K6:K7"/>
  </mergeCells>
  <pageMargins left="0.7" right="0.7" top="0.75" bottom="0.75" header="0.3" footer="0.3"/>
  <pageSetup paperSize="9" scale="72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AAC3B-35DA-D14D-B6CE-77867B251D8B}">
  <sheetPr>
    <pageSetUpPr fitToPage="1"/>
  </sheetPr>
  <dimension ref="B5:L22"/>
  <sheetViews>
    <sheetView workbookViewId="0">
      <pane xSplit="1" ySplit="7" topLeftCell="B8" activePane="bottomRight" state="frozen"/>
      <selection activeCell="F4" sqref="F4:H4"/>
      <selection pane="topRight" activeCell="F4" sqref="F4:H4"/>
      <selection pane="bottomLeft" activeCell="F4" sqref="F4:H4"/>
      <selection pane="bottomRight" activeCell="F4" sqref="F4:H4"/>
    </sheetView>
  </sheetViews>
  <sheetFormatPr defaultColWidth="10.85546875" defaultRowHeight="15.75" x14ac:dyDescent="0.25"/>
  <cols>
    <col min="1" max="1" width="3.85546875" style="93" customWidth="1"/>
    <col min="2" max="2" width="27.5703125" style="93" bestFit="1" customWidth="1"/>
    <col min="3" max="3" width="1.7109375" style="93" customWidth="1"/>
    <col min="4" max="4" width="11.7109375" style="93" customWidth="1"/>
    <col min="5" max="5" width="14.140625" style="93" customWidth="1"/>
    <col min="6" max="6" width="17.85546875" style="93" customWidth="1"/>
    <col min="7" max="7" width="14.7109375" style="93" customWidth="1"/>
    <col min="8" max="8" width="1.7109375" style="93" customWidth="1"/>
    <col min="9" max="9" width="18.28515625" style="93" customWidth="1"/>
    <col min="10" max="10" width="19.28515625" style="93" customWidth="1"/>
    <col min="11" max="11" width="18.28515625" style="93" customWidth="1"/>
    <col min="12" max="12" width="16" style="93" customWidth="1"/>
    <col min="13" max="16384" width="10.85546875" style="93"/>
  </cols>
  <sheetData>
    <row r="5" spans="2:12" ht="16.5" thickBot="1" x14ac:dyDescent="0.3"/>
    <row r="6" spans="2:12" ht="21" x14ac:dyDescent="0.25">
      <c r="B6" s="112"/>
      <c r="D6" s="164" t="s">
        <v>354</v>
      </c>
      <c r="E6" s="165"/>
      <c r="F6" s="165"/>
      <c r="G6" s="166"/>
      <c r="H6" s="140"/>
      <c r="I6" s="164" t="s">
        <v>353</v>
      </c>
      <c r="J6" s="165"/>
      <c r="K6" s="165"/>
      <c r="L6" s="166"/>
    </row>
    <row r="7" spans="2:12" ht="63" x14ac:dyDescent="0.25">
      <c r="B7" s="139" t="s">
        <v>347</v>
      </c>
      <c r="D7" s="111" t="s">
        <v>346</v>
      </c>
      <c r="E7" s="108" t="s">
        <v>345</v>
      </c>
      <c r="F7" s="108" t="s">
        <v>344</v>
      </c>
      <c r="G7" s="107" t="s">
        <v>343</v>
      </c>
      <c r="H7" s="141"/>
      <c r="I7" s="110" t="s">
        <v>342</v>
      </c>
      <c r="J7" s="109" t="s">
        <v>341</v>
      </c>
      <c r="K7" s="108" t="s">
        <v>340</v>
      </c>
      <c r="L7" s="107" t="s">
        <v>339</v>
      </c>
    </row>
    <row r="8" spans="2:12" x14ac:dyDescent="0.25">
      <c r="B8" s="102" t="s">
        <v>338</v>
      </c>
      <c r="D8" s="101" t="s">
        <v>30</v>
      </c>
      <c r="E8" s="100" t="s">
        <v>336</v>
      </c>
      <c r="F8" s="100" t="s">
        <v>336</v>
      </c>
      <c r="G8" s="99" t="s">
        <v>336</v>
      </c>
      <c r="H8" s="142"/>
      <c r="I8" s="101" t="s">
        <v>336</v>
      </c>
      <c r="J8" s="100" t="s">
        <v>336</v>
      </c>
      <c r="K8" s="100" t="s">
        <v>336</v>
      </c>
      <c r="L8" s="99" t="s">
        <v>336</v>
      </c>
    </row>
    <row r="9" spans="2:12" x14ac:dyDescent="0.25">
      <c r="B9" s="102" t="s">
        <v>337</v>
      </c>
      <c r="D9" s="101" t="s">
        <v>30</v>
      </c>
      <c r="E9" s="100" t="s">
        <v>336</v>
      </c>
      <c r="F9" s="100" t="s">
        <v>336</v>
      </c>
      <c r="G9" s="99" t="s">
        <v>336</v>
      </c>
      <c r="H9" s="142"/>
      <c r="I9" s="101" t="s">
        <v>336</v>
      </c>
      <c r="J9" s="100" t="s">
        <v>336</v>
      </c>
      <c r="K9" s="100" t="s">
        <v>336</v>
      </c>
      <c r="L9" s="99" t="s">
        <v>336</v>
      </c>
    </row>
    <row r="10" spans="2:12" x14ac:dyDescent="0.25">
      <c r="B10" s="102" t="s">
        <v>335</v>
      </c>
      <c r="D10" s="101"/>
      <c r="E10" s="100" t="s">
        <v>31</v>
      </c>
      <c r="F10" s="100" t="s">
        <v>31</v>
      </c>
      <c r="G10" s="99" t="s">
        <v>30</v>
      </c>
      <c r="H10" s="142"/>
      <c r="I10" s="101" t="s">
        <v>30</v>
      </c>
      <c r="J10" s="100" t="s">
        <v>31</v>
      </c>
      <c r="K10" s="100" t="s">
        <v>30</v>
      </c>
      <c r="L10" s="99" t="s">
        <v>30</v>
      </c>
    </row>
    <row r="11" spans="2:12" x14ac:dyDescent="0.25">
      <c r="B11" s="147" t="s">
        <v>355</v>
      </c>
      <c r="D11" s="148" t="s">
        <v>334</v>
      </c>
      <c r="E11" s="145" t="s">
        <v>351</v>
      </c>
      <c r="F11" s="145" t="s">
        <v>356</v>
      </c>
      <c r="G11" s="99" t="s">
        <v>334</v>
      </c>
      <c r="H11" s="142"/>
      <c r="I11" s="146" t="s">
        <v>352</v>
      </c>
      <c r="J11" s="145" t="s">
        <v>356</v>
      </c>
      <c r="K11" s="145" t="s">
        <v>352</v>
      </c>
      <c r="L11" s="99" t="s">
        <v>334</v>
      </c>
    </row>
    <row r="12" spans="2:12" x14ac:dyDescent="0.25">
      <c r="B12" s="102" t="s">
        <v>333</v>
      </c>
      <c r="D12" s="101" t="s">
        <v>154</v>
      </c>
      <c r="E12" s="100" t="s">
        <v>320</v>
      </c>
      <c r="F12" s="100" t="s">
        <v>330</v>
      </c>
      <c r="G12" s="99" t="s">
        <v>330</v>
      </c>
      <c r="H12" s="142"/>
      <c r="I12" s="101" t="s">
        <v>320</v>
      </c>
      <c r="J12" s="100" t="s">
        <v>330</v>
      </c>
      <c r="K12" s="100" t="s">
        <v>330</v>
      </c>
      <c r="L12" s="99" t="s">
        <v>330</v>
      </c>
    </row>
    <row r="13" spans="2:12" x14ac:dyDescent="0.25">
      <c r="B13" s="102" t="s">
        <v>332</v>
      </c>
      <c r="D13" s="146" t="s">
        <v>295</v>
      </c>
      <c r="E13" s="100" t="s">
        <v>320</v>
      </c>
      <c r="F13" s="145" t="s">
        <v>295</v>
      </c>
      <c r="G13" s="99" t="s">
        <v>330</v>
      </c>
      <c r="H13" s="142"/>
      <c r="I13" s="101" t="s">
        <v>320</v>
      </c>
      <c r="J13" s="145" t="s">
        <v>295</v>
      </c>
      <c r="K13" s="100" t="s">
        <v>330</v>
      </c>
      <c r="L13" s="99" t="s">
        <v>330</v>
      </c>
    </row>
    <row r="14" spans="2:12" x14ac:dyDescent="0.25">
      <c r="B14" s="102" t="s">
        <v>331</v>
      </c>
      <c r="D14" s="101" t="s">
        <v>154</v>
      </c>
      <c r="E14" s="100" t="s">
        <v>320</v>
      </c>
      <c r="F14" s="100" t="s">
        <v>150</v>
      </c>
      <c r="G14" s="99" t="s">
        <v>330</v>
      </c>
      <c r="H14" s="142"/>
      <c r="I14" s="101" t="s">
        <v>320</v>
      </c>
      <c r="J14" s="100" t="s">
        <v>150</v>
      </c>
      <c r="K14" s="100" t="s">
        <v>330</v>
      </c>
      <c r="L14" s="99" t="s">
        <v>330</v>
      </c>
    </row>
    <row r="15" spans="2:12" x14ac:dyDescent="0.25">
      <c r="B15" s="102" t="s">
        <v>329</v>
      </c>
      <c r="D15" s="103" t="s">
        <v>31</v>
      </c>
      <c r="E15" s="105" t="s">
        <v>328</v>
      </c>
      <c r="F15" s="105" t="s">
        <v>30</v>
      </c>
      <c r="G15" s="104" t="s">
        <v>30</v>
      </c>
      <c r="H15" s="143"/>
      <c r="I15" s="103" t="s">
        <v>328</v>
      </c>
      <c r="J15" s="105" t="s">
        <v>30</v>
      </c>
      <c r="K15" s="105" t="s">
        <v>30</v>
      </c>
      <c r="L15" s="104" t="s">
        <v>30</v>
      </c>
    </row>
    <row r="16" spans="2:12" x14ac:dyDescent="0.25">
      <c r="B16" s="102" t="s">
        <v>327</v>
      </c>
      <c r="D16" s="101" t="s">
        <v>31</v>
      </c>
      <c r="E16" s="100" t="s">
        <v>30</v>
      </c>
      <c r="F16" s="100" t="s">
        <v>31</v>
      </c>
      <c r="G16" s="99" t="s">
        <v>31</v>
      </c>
      <c r="H16" s="142"/>
      <c r="I16" s="101" t="s">
        <v>31</v>
      </c>
      <c r="J16" s="100" t="s">
        <v>31</v>
      </c>
      <c r="K16" s="100" t="s">
        <v>31</v>
      </c>
      <c r="L16" s="99" t="s">
        <v>31</v>
      </c>
    </row>
    <row r="17" spans="2:12" x14ac:dyDescent="0.25">
      <c r="B17" s="102" t="s">
        <v>326</v>
      </c>
      <c r="D17" s="101" t="s">
        <v>31</v>
      </c>
      <c r="E17" s="100" t="s">
        <v>31</v>
      </c>
      <c r="F17" s="100" t="s">
        <v>31</v>
      </c>
      <c r="G17" s="99" t="s">
        <v>31</v>
      </c>
      <c r="H17" s="142"/>
      <c r="I17" s="101" t="s">
        <v>30</v>
      </c>
      <c r="J17" s="100" t="s">
        <v>31</v>
      </c>
      <c r="K17" s="100" t="s">
        <v>30</v>
      </c>
      <c r="L17" s="99" t="s">
        <v>31</v>
      </c>
    </row>
    <row r="18" spans="2:12" x14ac:dyDescent="0.25">
      <c r="B18" s="102" t="s">
        <v>325</v>
      </c>
      <c r="D18" s="101" t="s">
        <v>31</v>
      </c>
      <c r="E18" s="100" t="s">
        <v>31</v>
      </c>
      <c r="F18" s="100" t="s">
        <v>30</v>
      </c>
      <c r="G18" s="99" t="s">
        <v>31</v>
      </c>
      <c r="H18" s="142"/>
      <c r="I18" s="101" t="s">
        <v>31</v>
      </c>
      <c r="J18" s="100" t="s">
        <v>30</v>
      </c>
      <c r="K18" s="100" t="s">
        <v>31</v>
      </c>
      <c r="L18" s="99" t="s">
        <v>31</v>
      </c>
    </row>
    <row r="19" spans="2:12" x14ac:dyDescent="0.25">
      <c r="B19" s="106" t="s">
        <v>324</v>
      </c>
      <c r="D19" s="101">
        <v>0</v>
      </c>
      <c r="E19" s="105" t="s">
        <v>322</v>
      </c>
      <c r="F19" s="105" t="s">
        <v>322</v>
      </c>
      <c r="G19" s="104" t="s">
        <v>322</v>
      </c>
      <c r="H19" s="142"/>
      <c r="I19" s="101" t="s">
        <v>323</v>
      </c>
      <c r="J19" s="105" t="s">
        <v>322</v>
      </c>
      <c r="K19" s="105" t="s">
        <v>323</v>
      </c>
      <c r="L19" s="104" t="s">
        <v>322</v>
      </c>
    </row>
    <row r="20" spans="2:12" x14ac:dyDescent="0.25">
      <c r="B20" s="102" t="s">
        <v>321</v>
      </c>
      <c r="D20" s="103" t="s">
        <v>31</v>
      </c>
      <c r="E20" s="100" t="s">
        <v>154</v>
      </c>
      <c r="F20" s="100" t="s">
        <v>154</v>
      </c>
      <c r="G20" s="99" t="s">
        <v>154</v>
      </c>
      <c r="H20" s="142"/>
      <c r="I20" s="101" t="s">
        <v>320</v>
      </c>
      <c r="J20" s="100" t="s">
        <v>150</v>
      </c>
      <c r="K20" s="100" t="s">
        <v>150</v>
      </c>
      <c r="L20" s="99" t="s">
        <v>150</v>
      </c>
    </row>
    <row r="21" spans="2:12" x14ac:dyDescent="0.25">
      <c r="B21" s="102" t="s">
        <v>319</v>
      </c>
      <c r="D21" s="101" t="s">
        <v>154</v>
      </c>
      <c r="E21" s="100" t="s">
        <v>93</v>
      </c>
      <c r="F21" s="100" t="s">
        <v>150</v>
      </c>
      <c r="G21" s="99" t="s">
        <v>150</v>
      </c>
      <c r="H21" s="142"/>
      <c r="I21" s="101" t="s">
        <v>93</v>
      </c>
      <c r="J21" s="100" t="s">
        <v>150</v>
      </c>
      <c r="K21" s="100" t="s">
        <v>150</v>
      </c>
      <c r="L21" s="99" t="s">
        <v>93</v>
      </c>
    </row>
    <row r="22" spans="2:12" ht="16.5" thickBot="1" x14ac:dyDescent="0.3">
      <c r="B22" s="98"/>
      <c r="D22" s="97"/>
      <c r="E22" s="96"/>
      <c r="F22" s="96"/>
      <c r="G22" s="95"/>
      <c r="H22" s="95"/>
      <c r="I22" s="97"/>
      <c r="J22" s="96"/>
      <c r="K22" s="96"/>
      <c r="L22" s="95"/>
    </row>
  </sheetData>
  <mergeCells count="2">
    <mergeCell ref="D6:G6"/>
    <mergeCell ref="I6:L6"/>
  </mergeCells>
  <pageMargins left="0.7" right="0.7" top="0.75" bottom="0.75" header="0.3" footer="0.3"/>
  <pageSetup paperSize="9" scale="8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AI182"/>
  <sheetViews>
    <sheetView workbookViewId="0">
      <selection activeCell="J1" sqref="J1:Q28"/>
    </sheetView>
  </sheetViews>
  <sheetFormatPr defaultColWidth="8.85546875" defaultRowHeight="15" outlineLevelRow="1" x14ac:dyDescent="0.25"/>
  <cols>
    <col min="1" max="1" width="41.85546875" customWidth="1"/>
    <col min="2" max="2" width="16.7109375" bestFit="1" customWidth="1"/>
    <col min="3" max="3" width="12.140625" bestFit="1" customWidth="1"/>
    <col min="4" max="4" width="11.42578125" bestFit="1" customWidth="1"/>
    <col min="5" max="5" width="9.42578125" bestFit="1" customWidth="1"/>
    <col min="6" max="6" width="10.28515625" bestFit="1" customWidth="1"/>
    <col min="7" max="7" width="9.42578125" bestFit="1" customWidth="1"/>
    <col min="8" max="8" width="12.28515625" bestFit="1" customWidth="1"/>
    <col min="9" max="9" width="9.42578125" bestFit="1" customWidth="1"/>
    <col min="10" max="10" width="12" customWidth="1"/>
    <col min="11" max="11" width="9.42578125" customWidth="1"/>
    <col min="12" max="12" width="9.42578125" bestFit="1" customWidth="1"/>
    <col min="13" max="13" width="10.42578125" bestFit="1" customWidth="1"/>
    <col min="14" max="14" width="9.42578125" bestFit="1" customWidth="1"/>
    <col min="15" max="15" width="9.7109375" customWidth="1"/>
    <col min="16" max="16" width="10.28515625" bestFit="1" customWidth="1"/>
    <col min="17" max="17" width="12.42578125" customWidth="1"/>
    <col min="18" max="19" width="10.28515625" bestFit="1" customWidth="1"/>
    <col min="20" max="31" width="9.28515625" customWidth="1"/>
  </cols>
  <sheetData>
    <row r="1" spans="1:35" x14ac:dyDescent="0.25">
      <c r="A1" t="s">
        <v>0</v>
      </c>
      <c r="B1" t="s">
        <v>1</v>
      </c>
      <c r="C1" s="91">
        <v>750</v>
      </c>
      <c r="J1" s="1" t="s">
        <v>2</v>
      </c>
    </row>
    <row r="2" spans="1:35" ht="15" customHeight="1" x14ac:dyDescent="0.25">
      <c r="A2" t="s">
        <v>3</v>
      </c>
      <c r="B2" t="s">
        <v>4</v>
      </c>
      <c r="C2" s="91">
        <v>3500</v>
      </c>
      <c r="E2" t="s">
        <v>5</v>
      </c>
      <c r="L2" s="168" t="s">
        <v>6</v>
      </c>
      <c r="M2" s="167" t="s">
        <v>8</v>
      </c>
      <c r="N2" s="167" t="s">
        <v>9</v>
      </c>
      <c r="O2" s="167" t="s">
        <v>301</v>
      </c>
      <c r="P2" s="167" t="s">
        <v>309</v>
      </c>
      <c r="Q2" s="167" t="s">
        <v>308</v>
      </c>
    </row>
    <row r="3" spans="1:35" ht="15" customHeight="1" x14ac:dyDescent="0.25">
      <c r="A3" t="s">
        <v>10</v>
      </c>
      <c r="B3" t="s">
        <v>11</v>
      </c>
      <c r="C3" s="6">
        <f>Investering!E16</f>
        <v>0.18479999999999999</v>
      </c>
      <c r="F3" s="82" t="s">
        <v>12</v>
      </c>
      <c r="G3" s="3">
        <v>400</v>
      </c>
      <c r="H3" t="s">
        <v>4</v>
      </c>
      <c r="L3" s="168"/>
      <c r="M3" s="167"/>
      <c r="N3" s="167"/>
      <c r="O3" s="167"/>
      <c r="P3" s="167"/>
      <c r="Q3" s="167"/>
    </row>
    <row r="4" spans="1:35" x14ac:dyDescent="0.25">
      <c r="A4" t="s">
        <v>13</v>
      </c>
      <c r="B4" t="s">
        <v>11</v>
      </c>
      <c r="C4" s="6">
        <f>Investering!E26</f>
        <v>1</v>
      </c>
      <c r="J4" t="s">
        <v>14</v>
      </c>
      <c r="L4" s="9">
        <f>AD37</f>
        <v>14989.808346013273</v>
      </c>
      <c r="M4" s="10">
        <f t="shared" ref="M4:M10" si="0">AD108</f>
        <v>0</v>
      </c>
      <c r="N4" s="9">
        <f>AD136</f>
        <v>0</v>
      </c>
      <c r="O4" s="9">
        <f>AE136</f>
        <v>0</v>
      </c>
      <c r="P4" s="9">
        <f t="shared" ref="P4:P10" si="1">AD52</f>
        <v>0</v>
      </c>
      <c r="Q4" s="9">
        <f t="shared" ref="Q4:Q10" si="2">AD80</f>
        <v>0</v>
      </c>
    </row>
    <row r="5" spans="1:35" x14ac:dyDescent="0.25">
      <c r="A5" t="s">
        <v>15</v>
      </c>
      <c r="B5" t="s">
        <v>16</v>
      </c>
      <c r="C5" s="4">
        <v>2025</v>
      </c>
      <c r="J5" t="s">
        <v>17</v>
      </c>
      <c r="L5" s="9">
        <f>AD38</f>
        <v>1459.1426856523817</v>
      </c>
      <c r="M5" s="10">
        <f t="shared" si="0"/>
        <v>5296.9615381717049</v>
      </c>
      <c r="N5" s="9">
        <f t="shared" ref="N5:N10" si="3">AD137</f>
        <v>6053.6703293390919</v>
      </c>
      <c r="O5" s="9">
        <f>AD165</f>
        <v>4708.410256152627</v>
      </c>
      <c r="P5" s="9">
        <f t="shared" si="1"/>
        <v>5296.9615381717049</v>
      </c>
      <c r="Q5" s="9">
        <f t="shared" si="2"/>
        <v>5296.9615381717049</v>
      </c>
    </row>
    <row r="6" spans="1:35" x14ac:dyDescent="0.25">
      <c r="A6" t="s">
        <v>18</v>
      </c>
      <c r="B6" t="s">
        <v>16</v>
      </c>
      <c r="C6" s="4">
        <v>15</v>
      </c>
      <c r="J6" t="s">
        <v>19</v>
      </c>
      <c r="L6" s="9">
        <f t="shared" ref="L6:L8" si="4">AD39</f>
        <v>2222.3158499264314</v>
      </c>
      <c r="M6" s="10">
        <f t="shared" si="0"/>
        <v>0</v>
      </c>
      <c r="N6" s="9">
        <f t="shared" si="3"/>
        <v>0</v>
      </c>
      <c r="O6" s="9">
        <f>AE138</f>
        <v>0</v>
      </c>
      <c r="P6" s="9">
        <f t="shared" si="1"/>
        <v>0</v>
      </c>
      <c r="Q6" s="9">
        <f t="shared" si="2"/>
        <v>0</v>
      </c>
    </row>
    <row r="7" spans="1:35" x14ac:dyDescent="0.25">
      <c r="C7" s="12"/>
      <c r="J7" t="s">
        <v>21</v>
      </c>
      <c r="L7" s="9">
        <f t="shared" si="4"/>
        <v>2523.3585532781181</v>
      </c>
      <c r="M7" s="10">
        <f t="shared" si="0"/>
        <v>0</v>
      </c>
      <c r="N7" s="9">
        <f t="shared" si="3"/>
        <v>0</v>
      </c>
      <c r="O7" s="9">
        <f>AE139</f>
        <v>0</v>
      </c>
      <c r="P7" s="9">
        <f t="shared" si="1"/>
        <v>0</v>
      </c>
      <c r="Q7" s="9">
        <f t="shared" si="2"/>
        <v>0</v>
      </c>
    </row>
    <row r="8" spans="1:35" x14ac:dyDescent="0.25">
      <c r="A8" t="s">
        <v>22</v>
      </c>
      <c r="B8" s="13"/>
      <c r="C8" s="4" t="s">
        <v>23</v>
      </c>
      <c r="J8" t="s">
        <v>24</v>
      </c>
      <c r="L8" s="9">
        <f t="shared" si="4"/>
        <v>5089.5070727028533</v>
      </c>
      <c r="M8" s="10">
        <f t="shared" si="0"/>
        <v>0</v>
      </c>
      <c r="N8" s="9">
        <f t="shared" si="3"/>
        <v>0</v>
      </c>
      <c r="O8" s="9">
        <f>AE140</f>
        <v>0</v>
      </c>
      <c r="P8" s="9">
        <f t="shared" si="1"/>
        <v>0</v>
      </c>
      <c r="Q8" s="9">
        <f t="shared" si="2"/>
        <v>0</v>
      </c>
    </row>
    <row r="9" spans="1:35" x14ac:dyDescent="0.25">
      <c r="A9" t="s">
        <v>25</v>
      </c>
      <c r="B9" s="13"/>
      <c r="C9" s="14">
        <v>0</v>
      </c>
      <c r="J9" t="s">
        <v>26</v>
      </c>
      <c r="L9" s="9"/>
      <c r="M9" s="9">
        <f t="shared" si="0"/>
        <v>25262.740485309383</v>
      </c>
      <c r="N9" s="9">
        <f t="shared" si="3"/>
        <v>21732.920453891962</v>
      </c>
      <c r="O9" s="9">
        <f>AD169</f>
        <v>28150.309058190775</v>
      </c>
      <c r="P9" s="9">
        <f t="shared" si="1"/>
        <v>20485.098342945676</v>
      </c>
      <c r="Q9" s="9">
        <f t="shared" si="2"/>
        <v>22071.674280690459</v>
      </c>
    </row>
    <row r="10" spans="1:35" x14ac:dyDescent="0.25">
      <c r="J10" t="s">
        <v>27</v>
      </c>
      <c r="M10" s="9">
        <f t="shared" si="0"/>
        <v>2645.8927881795912</v>
      </c>
      <c r="N10" s="9">
        <f t="shared" si="3"/>
        <v>2645.8927881795912</v>
      </c>
      <c r="O10" s="9">
        <f>AD170</f>
        <v>2645.8927881795912</v>
      </c>
      <c r="P10" s="9">
        <f t="shared" si="1"/>
        <v>2645.8927881795912</v>
      </c>
      <c r="Q10" s="9">
        <f t="shared" si="2"/>
        <v>2645.8927881795912</v>
      </c>
    </row>
    <row r="11" spans="1:35" x14ac:dyDescent="0.25">
      <c r="M11" s="9"/>
      <c r="N11" s="9"/>
      <c r="O11" s="9"/>
      <c r="P11" s="9"/>
      <c r="Q11" s="9"/>
      <c r="AI11" t="s">
        <v>28</v>
      </c>
    </row>
    <row r="12" spans="1:35" x14ac:dyDescent="0.25">
      <c r="C12" s="167" t="s">
        <v>309</v>
      </c>
      <c r="D12" s="167" t="s">
        <v>308</v>
      </c>
      <c r="E12" s="167" t="s">
        <v>8</v>
      </c>
      <c r="F12" s="167" t="s">
        <v>9</v>
      </c>
      <c r="G12" s="167" t="s">
        <v>301</v>
      </c>
      <c r="J12" s="68" t="s">
        <v>304</v>
      </c>
      <c r="M12" s="9">
        <f>-AD121</f>
        <v>-4021.2376934323133</v>
      </c>
      <c r="N12" s="9">
        <f>-AD149</f>
        <v>-4595.700221065501</v>
      </c>
      <c r="O12" s="9">
        <f>-AD177</f>
        <v>-3574.4335052731672</v>
      </c>
      <c r="P12" s="9">
        <f>-AD65</f>
        <v>-4021.2376934323133</v>
      </c>
      <c r="Q12" s="9">
        <f>-AD93</f>
        <v>-4021.2376934323133</v>
      </c>
      <c r="AI12" t="s">
        <v>30</v>
      </c>
    </row>
    <row r="13" spans="1:35" x14ac:dyDescent="0.25">
      <c r="C13" s="167"/>
      <c r="D13" s="167"/>
      <c r="E13" s="167"/>
      <c r="F13" s="167"/>
      <c r="G13" s="167"/>
      <c r="J13" s="68" t="s">
        <v>305</v>
      </c>
      <c r="M13" s="9">
        <f>AD122</f>
        <v>1666.0982735830587</v>
      </c>
      <c r="N13" s="9">
        <f>AD150</f>
        <v>1904.1123126663526</v>
      </c>
      <c r="O13" s="9">
        <f>AD178</f>
        <v>1480.976243184941</v>
      </c>
      <c r="P13" s="9">
        <f>AD66</f>
        <v>1666.0982735830587</v>
      </c>
      <c r="Q13" s="9">
        <f>AD94</f>
        <v>1666.0982735830587</v>
      </c>
      <c r="T13" s="10"/>
      <c r="AI13" t="s">
        <v>31</v>
      </c>
    </row>
    <row r="14" spans="1:35" x14ac:dyDescent="0.25">
      <c r="A14" t="s">
        <v>32</v>
      </c>
      <c r="C14" s="15">
        <v>4</v>
      </c>
      <c r="D14" s="15">
        <v>4</v>
      </c>
      <c r="E14" s="15">
        <v>4</v>
      </c>
      <c r="F14" s="15">
        <v>3.5</v>
      </c>
      <c r="G14" s="15">
        <v>4.5</v>
      </c>
      <c r="J14" s="68" t="s">
        <v>306</v>
      </c>
      <c r="M14" s="9">
        <f>AD123</f>
        <v>440.98213136326524</v>
      </c>
      <c r="N14" s="9">
        <f>AD151</f>
        <v>440.98213136326524</v>
      </c>
      <c r="O14" s="9">
        <f>AD179</f>
        <v>440.98213136326524</v>
      </c>
      <c r="P14" s="9">
        <f>AD67</f>
        <v>440.98213136326524</v>
      </c>
      <c r="Q14" s="9">
        <f>AD95</f>
        <v>440.98213136326524</v>
      </c>
      <c r="T14" s="10"/>
      <c r="U14" s="10"/>
    </row>
    <row r="15" spans="1:35" x14ac:dyDescent="0.25">
      <c r="A15" t="s">
        <v>34</v>
      </c>
      <c r="B15" s="13" t="s">
        <v>35</v>
      </c>
      <c r="C15" s="16">
        <f>Investering!I28</f>
        <v>16960.94682142857</v>
      </c>
      <c r="D15" s="16">
        <f>Investering!I46</f>
        <v>18274.576351428572</v>
      </c>
      <c r="E15" s="16">
        <f>Investering!I64</f>
        <v>20916.667851020407</v>
      </c>
      <c r="F15" s="16">
        <f>Investering!I81</f>
        <v>17994.099999999999</v>
      </c>
      <c r="G15" s="16">
        <f>Investering!I102</f>
        <v>23307.473898809523</v>
      </c>
      <c r="J15" s="3" t="s">
        <v>363</v>
      </c>
      <c r="K15" s="3"/>
      <c r="L15" s="17">
        <f>SUM(L4:L13)</f>
        <v>26284.13250757306</v>
      </c>
      <c r="M15" s="17">
        <f>SUM(M4:M14)</f>
        <v>31291.437523174689</v>
      </c>
      <c r="N15" s="17">
        <f>SUM(N4:N14)</f>
        <v>28181.877794374759</v>
      </c>
      <c r="O15" s="17">
        <f>SUM(O4:O14)</f>
        <v>33852.136971798027</v>
      </c>
      <c r="P15" s="17">
        <f>SUM(P4:P14)</f>
        <v>26513.795380810978</v>
      </c>
      <c r="Q15" s="17">
        <f>SUM(Q4:Q14)</f>
        <v>28100.371318555761</v>
      </c>
      <c r="T15" s="9"/>
    </row>
    <row r="16" spans="1:35" x14ac:dyDescent="0.25">
      <c r="A16" t="s">
        <v>37</v>
      </c>
      <c r="B16" t="s">
        <v>11</v>
      </c>
      <c r="C16" s="83">
        <f>Kengetallen!B18</f>
        <v>0.4</v>
      </c>
      <c r="D16" s="83">
        <f>C16</f>
        <v>0.4</v>
      </c>
      <c r="E16" s="83">
        <f>C16</f>
        <v>0.4</v>
      </c>
      <c r="F16" s="83">
        <f>E16</f>
        <v>0.4</v>
      </c>
      <c r="G16" s="83">
        <f>F16</f>
        <v>0.4</v>
      </c>
      <c r="J16" t="s">
        <v>38</v>
      </c>
      <c r="L16" s="9">
        <f t="shared" ref="L16" si="5">L15/$C$6</f>
        <v>1752.2755005048707</v>
      </c>
      <c r="M16" s="9">
        <f>M15/$C$6</f>
        <v>2086.0958348783124</v>
      </c>
      <c r="N16" s="9">
        <f>N15/$C$6</f>
        <v>1878.7918529583173</v>
      </c>
      <c r="O16" s="9">
        <f>O15/$C$6</f>
        <v>2256.8091314532016</v>
      </c>
      <c r="P16" s="9">
        <f>P15/$C$6</f>
        <v>1767.5863587207318</v>
      </c>
      <c r="Q16" s="9">
        <f>Q15/$C$6</f>
        <v>1873.3580879037174</v>
      </c>
      <c r="T16" s="9"/>
      <c r="U16" s="10"/>
    </row>
    <row r="17" spans="1:28" x14ac:dyDescent="0.25">
      <c r="A17" t="s">
        <v>39</v>
      </c>
      <c r="C17" s="84">
        <f>Financiering!$D$6*(1-$C$9)</f>
        <v>2.8410099999999997E-2</v>
      </c>
      <c r="D17" s="84">
        <f>Financiering!$D$6*(1-$C$9)</f>
        <v>2.8410099999999997E-2</v>
      </c>
      <c r="E17" s="84">
        <f>Financiering!$D$6*(1-$C$9)</f>
        <v>2.8410099999999997E-2</v>
      </c>
      <c r="F17" s="84">
        <f>Financiering!$D$6*(1-$C$9)</f>
        <v>2.8410099999999997E-2</v>
      </c>
      <c r="G17" s="84">
        <f>Financiering!$D$6*(1-$C$9)</f>
        <v>2.8410099999999997E-2</v>
      </c>
      <c r="J17" t="s">
        <v>40</v>
      </c>
      <c r="L17" s="9">
        <f>(L15-L6)/15</f>
        <v>1604.1211105097752</v>
      </c>
      <c r="M17" s="9">
        <f>(M15-M6-M9-M13)/15</f>
        <v>290.83991761881651</v>
      </c>
      <c r="N17" s="9">
        <f>(N15-N6-N9-N13)/15</f>
        <v>302.98966852109629</v>
      </c>
      <c r="O17" s="9">
        <f>(O15-O6-O9-O13)/15</f>
        <v>281.39011136148741</v>
      </c>
      <c r="P17" s="9">
        <f>(P15-P6-P9-P13)/15</f>
        <v>290.83991761881623</v>
      </c>
      <c r="Q17" s="9">
        <f>(Q15-Q6-Q9-Q13)/15</f>
        <v>290.83991761881623</v>
      </c>
      <c r="U17" s="10"/>
    </row>
    <row r="18" spans="1:28" x14ac:dyDescent="0.25">
      <c r="A18" t="s">
        <v>41</v>
      </c>
      <c r="B18" s="6"/>
      <c r="D18" s="18">
        <v>0.15</v>
      </c>
      <c r="E18" s="20"/>
      <c r="F18" s="20"/>
      <c r="G18" s="20"/>
      <c r="H18" s="3"/>
      <c r="U18" s="10"/>
    </row>
    <row r="19" spans="1:28" x14ac:dyDescent="0.25">
      <c r="A19" t="s">
        <v>42</v>
      </c>
      <c r="B19" t="s">
        <v>20</v>
      </c>
      <c r="C19" s="85">
        <f>J47</f>
        <v>1452.075</v>
      </c>
      <c r="D19" s="86">
        <f>J75</f>
        <v>1452.075</v>
      </c>
      <c r="E19" s="85">
        <f>J103</f>
        <v>1452.075</v>
      </c>
      <c r="F19" s="85">
        <f>J131</f>
        <v>1659.5142857142857</v>
      </c>
      <c r="G19" s="85">
        <f>J159</f>
        <v>1290.7333333333333</v>
      </c>
      <c r="H19" s="3"/>
      <c r="J19" t="s">
        <v>43</v>
      </c>
      <c r="L19">
        <v>0</v>
      </c>
      <c r="M19" s="10">
        <f>Investering!I64-Investering!J64</f>
        <v>3823.1072959183657</v>
      </c>
      <c r="N19" s="10">
        <f>Investering!I85-Investering!J85</f>
        <v>3244.75</v>
      </c>
      <c r="O19" s="10">
        <f>Investering!I102-Investering!J102</f>
        <v>3153.6125982142839</v>
      </c>
      <c r="P19" s="10">
        <f>Investering!I28-Investering!J28</f>
        <v>3521.2894642857136</v>
      </c>
      <c r="Q19" s="87">
        <f>Investering!I46-Investering!J46</f>
        <v>3521.2894642857154</v>
      </c>
      <c r="U19" s="10"/>
    </row>
    <row r="20" spans="1:28" x14ac:dyDescent="0.25">
      <c r="A20" t="s">
        <v>44</v>
      </c>
      <c r="B20" s="13" t="s">
        <v>45</v>
      </c>
      <c r="C20" s="21">
        <f>VLOOKUP(C19,Kengetallen!$B$12:$C$14,2,TRUE)</f>
        <v>0.95</v>
      </c>
      <c r="D20" s="21">
        <f>VLOOKUP(D19,Kengetallen!$B$12:$C$14,2,TRUE)</f>
        <v>0.95</v>
      </c>
      <c r="E20" s="21">
        <f>VLOOKUP(E19,Kengetallen!$B$12:$C$14,2,TRUE)</f>
        <v>0.95</v>
      </c>
      <c r="F20" s="21">
        <f>VLOOKUP(F19,Kengetallen!$B$12:$C$14,2,TRUE)</f>
        <v>0.95</v>
      </c>
      <c r="G20" s="21">
        <f>VLOOKUP(G19,Kengetallen!$B$12:$C$14,2,TRUE)</f>
        <v>0.95</v>
      </c>
      <c r="H20" s="10"/>
      <c r="J20" s="3" t="s">
        <v>46</v>
      </c>
      <c r="K20" s="3"/>
      <c r="L20" s="17">
        <f>L15-L19</f>
        <v>26284.13250757306</v>
      </c>
      <c r="M20" s="17">
        <f t="shared" ref="M20:N20" si="6">M15-M19</f>
        <v>27468.330227256323</v>
      </c>
      <c r="N20" s="17">
        <f t="shared" si="6"/>
        <v>24937.127794374759</v>
      </c>
      <c r="O20" s="17">
        <f t="shared" ref="O20" si="7">O15-O19</f>
        <v>30698.524373583743</v>
      </c>
      <c r="P20" s="17">
        <f>P15-P19</f>
        <v>22992.505916525264</v>
      </c>
      <c r="Q20" s="17">
        <f>Q15-Q19</f>
        <v>24579.081854270044</v>
      </c>
    </row>
    <row r="21" spans="1:28" x14ac:dyDescent="0.25">
      <c r="A21" t="s">
        <v>47</v>
      </c>
      <c r="B21" s="6"/>
      <c r="C21" s="14">
        <v>0.1</v>
      </c>
      <c r="D21" s="14">
        <v>0.1</v>
      </c>
      <c r="E21" s="14">
        <v>0.1</v>
      </c>
      <c r="F21" s="14">
        <v>0.1</v>
      </c>
      <c r="G21" s="14">
        <v>0.1</v>
      </c>
      <c r="H21" s="10"/>
      <c r="J21" s="3"/>
      <c r="K21" s="3"/>
      <c r="L21" s="17"/>
      <c r="M21" s="17"/>
      <c r="N21" s="17"/>
      <c r="O21" s="17"/>
      <c r="P21" s="17"/>
      <c r="Q21" s="17"/>
    </row>
    <row r="22" spans="1:28" x14ac:dyDescent="0.25">
      <c r="A22" t="s">
        <v>48</v>
      </c>
      <c r="B22" s="6"/>
      <c r="C22" s="92">
        <v>10</v>
      </c>
      <c r="D22" s="92">
        <v>10</v>
      </c>
      <c r="H22" s="10"/>
      <c r="J22" s="3" t="s">
        <v>49</v>
      </c>
      <c r="K22" s="3"/>
      <c r="L22" s="17">
        <f>Kengetallen!B6*(1+Kengetallen!B2)^16</f>
        <v>2525.9256973667261</v>
      </c>
      <c r="M22" s="17">
        <f>(Investering!D60+Investering!D66)*(1+Kengetallen!B2)^16</f>
        <v>12585.574763967996</v>
      </c>
      <c r="N22" s="17">
        <f>(Investering!D76+Investering!D83)*(1+Kengetallen!B2)^16</f>
        <v>10965.178769717031</v>
      </c>
      <c r="O22" s="17">
        <f>(Investering!D93+Investering!D100)*(1+Kengetallen!B2)^16</f>
        <v>12375.161607014275</v>
      </c>
      <c r="P22" s="17">
        <f>(Investering!D24+Investering!D30)*(1+Kengetallen!B2)^16</f>
        <v>8921.8321083653736</v>
      </c>
      <c r="Q22" s="88">
        <f>(Investering!D42+Investering!D48)*(1+Kengetallen!B2)^16</f>
        <v>10116.941317053232</v>
      </c>
    </row>
    <row r="23" spans="1:28" x14ac:dyDescent="0.25">
      <c r="A23" t="s">
        <v>50</v>
      </c>
      <c r="B23" s="6"/>
      <c r="C23" s="85">
        <f>Kengetallen!B56</f>
        <v>260</v>
      </c>
      <c r="D23" s="85">
        <f>C23</f>
        <v>260</v>
      </c>
      <c r="E23" s="85">
        <f>Investering!C56</f>
        <v>83.038102040816327</v>
      </c>
      <c r="F23" s="6"/>
      <c r="G23" s="6"/>
      <c r="H23" s="10"/>
      <c r="N23" s="10"/>
    </row>
    <row r="24" spans="1:28" x14ac:dyDescent="0.25">
      <c r="A24" t="s">
        <v>51</v>
      </c>
      <c r="B24" s="6"/>
      <c r="C24" s="12">
        <f>D24</f>
        <v>4.4282597587977195</v>
      </c>
      <c r="D24" s="12">
        <f>D23/Investering!C38</f>
        <v>4.4282597587977195</v>
      </c>
      <c r="E24" s="6"/>
      <c r="F24" s="6"/>
      <c r="G24" s="6"/>
      <c r="H24" s="10"/>
      <c r="M24" s="17"/>
      <c r="N24" s="10"/>
      <c r="O24" s="19"/>
      <c r="P24" s="22" t="s">
        <v>52</v>
      </c>
      <c r="Q24" s="22" t="s">
        <v>53</v>
      </c>
    </row>
    <row r="25" spans="1:28" x14ac:dyDescent="0.25">
      <c r="A25" t="s">
        <v>54</v>
      </c>
      <c r="B25" s="6"/>
      <c r="C25" s="85">
        <v>6</v>
      </c>
      <c r="D25" s="85">
        <v>6</v>
      </c>
      <c r="E25" s="6"/>
      <c r="F25" s="6"/>
      <c r="G25" s="6"/>
      <c r="H25" s="10"/>
      <c r="J25" t="s">
        <v>55</v>
      </c>
      <c r="L25" s="9"/>
      <c r="M25" s="17"/>
      <c r="N25" s="10"/>
      <c r="O25" s="9"/>
      <c r="P25" s="9">
        <f>Investering!B58-(Investering!B22+Investering!B23)</f>
        <v>603.63566326530599</v>
      </c>
      <c r="Q25" s="9">
        <f>-15*PMT(C17,15,P25,0,1)</f>
        <v>729.05929459529557</v>
      </c>
    </row>
    <row r="26" spans="1:28" x14ac:dyDescent="0.25">
      <c r="A26" t="s">
        <v>56</v>
      </c>
      <c r="B26" s="6"/>
      <c r="C26" s="6"/>
      <c r="D26" s="6"/>
      <c r="E26" s="14" t="s">
        <v>30</v>
      </c>
      <c r="F26" s="6"/>
      <c r="G26" s="6"/>
      <c r="H26" s="10"/>
      <c r="J26" t="s">
        <v>57</v>
      </c>
      <c r="L26" s="9"/>
      <c r="M26" s="17"/>
      <c r="N26" s="10"/>
      <c r="P26" s="9">
        <f>Investering!B60-Investering!B24</f>
        <v>6228.8380000000006</v>
      </c>
      <c r="Q26" s="9">
        <f>-15*PMT(C17,15,P26,0,1)</f>
        <v>7523.0681597956827</v>
      </c>
    </row>
    <row r="27" spans="1:28" x14ac:dyDescent="0.25">
      <c r="A27" t="s">
        <v>58</v>
      </c>
      <c r="B27" s="6"/>
      <c r="C27" s="12"/>
      <c r="D27" s="12"/>
      <c r="E27" s="6"/>
      <c r="F27" s="14" t="s">
        <v>30</v>
      </c>
      <c r="G27" s="6"/>
      <c r="H27" s="10"/>
      <c r="J27" t="s">
        <v>59</v>
      </c>
      <c r="L27" s="9"/>
      <c r="M27" s="17"/>
      <c r="P27" s="9">
        <f>Investering!B61-Investering!B25</f>
        <v>683.24736632653082</v>
      </c>
      <c r="Q27" s="9">
        <f>-15*PMT(C17,15,P27,0,1)</f>
        <v>825.21274543909794</v>
      </c>
    </row>
    <row r="28" spans="1:28" x14ac:dyDescent="0.25">
      <c r="B28" s="6"/>
      <c r="H28" s="10"/>
      <c r="J28" s="3" t="s">
        <v>60</v>
      </c>
      <c r="K28" s="3"/>
      <c r="L28" s="17"/>
      <c r="N28" s="10"/>
      <c r="P28" s="17">
        <f>SUM(P25:P26)</f>
        <v>6832.4736632653066</v>
      </c>
      <c r="Q28" s="17">
        <f>SUM(Q25:Q27)</f>
        <v>9077.340199830076</v>
      </c>
    </row>
    <row r="29" spans="1:28" x14ac:dyDescent="0.25">
      <c r="B29" s="6"/>
      <c r="H29" s="10"/>
      <c r="J29" s="3"/>
      <c r="K29" s="3"/>
      <c r="L29" s="17"/>
      <c r="M29" s="17"/>
      <c r="N29" s="17"/>
      <c r="P29" s="10"/>
    </row>
    <row r="30" spans="1:28" x14ac:dyDescent="0.25">
      <c r="A30" s="23" t="s">
        <v>61</v>
      </c>
      <c r="G30" s="24"/>
      <c r="H30" s="10"/>
      <c r="I30" s="10"/>
      <c r="J30" s="10"/>
      <c r="M30" s="24"/>
      <c r="N30" s="9"/>
    </row>
    <row r="31" spans="1:28" x14ac:dyDescent="0.25">
      <c r="A31" t="s">
        <v>62</v>
      </c>
      <c r="B31">
        <v>3</v>
      </c>
      <c r="C31">
        <v>4</v>
      </c>
      <c r="D31">
        <v>5</v>
      </c>
      <c r="E31">
        <v>6</v>
      </c>
      <c r="F31">
        <v>7</v>
      </c>
      <c r="G31">
        <v>8</v>
      </c>
      <c r="H31">
        <v>9</v>
      </c>
      <c r="I31">
        <v>10</v>
      </c>
      <c r="J31">
        <v>11</v>
      </c>
      <c r="K31">
        <v>12</v>
      </c>
      <c r="L31">
        <v>13</v>
      </c>
      <c r="M31">
        <v>14</v>
      </c>
      <c r="N31">
        <v>15</v>
      </c>
      <c r="O31">
        <v>16</v>
      </c>
      <c r="P31">
        <v>17</v>
      </c>
      <c r="Q31">
        <v>18</v>
      </c>
      <c r="R31">
        <v>19</v>
      </c>
      <c r="S31">
        <v>9</v>
      </c>
      <c r="T31">
        <v>9</v>
      </c>
      <c r="U31">
        <v>9</v>
      </c>
      <c r="V31">
        <v>9</v>
      </c>
      <c r="W31">
        <v>9</v>
      </c>
      <c r="X31">
        <v>9</v>
      </c>
      <c r="Y31">
        <v>9</v>
      </c>
      <c r="Z31">
        <v>9</v>
      </c>
      <c r="AA31">
        <v>9</v>
      </c>
      <c r="AB31">
        <v>9</v>
      </c>
    </row>
    <row r="32" spans="1:28" x14ac:dyDescent="0.25">
      <c r="A32" t="s">
        <v>63</v>
      </c>
      <c r="B32">
        <f t="shared" ref="B32:AB32" si="8">B34-$C$5+1</f>
        <v>0</v>
      </c>
      <c r="C32">
        <f t="shared" si="8"/>
        <v>1</v>
      </c>
      <c r="D32">
        <f t="shared" si="8"/>
        <v>2</v>
      </c>
      <c r="E32">
        <f t="shared" si="8"/>
        <v>3</v>
      </c>
      <c r="F32">
        <f t="shared" si="8"/>
        <v>4</v>
      </c>
      <c r="G32">
        <f t="shared" si="8"/>
        <v>5</v>
      </c>
      <c r="H32">
        <f t="shared" si="8"/>
        <v>6</v>
      </c>
      <c r="I32">
        <f t="shared" si="8"/>
        <v>7</v>
      </c>
      <c r="J32">
        <f t="shared" si="8"/>
        <v>8</v>
      </c>
      <c r="K32">
        <f t="shared" si="8"/>
        <v>9</v>
      </c>
      <c r="L32">
        <f t="shared" si="8"/>
        <v>10</v>
      </c>
      <c r="M32">
        <f t="shared" si="8"/>
        <v>11</v>
      </c>
      <c r="N32">
        <f t="shared" si="8"/>
        <v>12</v>
      </c>
      <c r="O32">
        <f t="shared" si="8"/>
        <v>13</v>
      </c>
      <c r="P32">
        <f t="shared" si="8"/>
        <v>14</v>
      </c>
      <c r="Q32">
        <f t="shared" si="8"/>
        <v>15</v>
      </c>
      <c r="R32">
        <f t="shared" si="8"/>
        <v>16</v>
      </c>
      <c r="S32">
        <f t="shared" si="8"/>
        <v>17</v>
      </c>
      <c r="T32">
        <f t="shared" si="8"/>
        <v>18</v>
      </c>
      <c r="U32">
        <f t="shared" si="8"/>
        <v>19</v>
      </c>
      <c r="V32">
        <f t="shared" si="8"/>
        <v>20</v>
      </c>
      <c r="W32">
        <f t="shared" si="8"/>
        <v>21</v>
      </c>
      <c r="X32">
        <f t="shared" si="8"/>
        <v>22</v>
      </c>
      <c r="Y32">
        <f t="shared" si="8"/>
        <v>23</v>
      </c>
      <c r="Z32">
        <f t="shared" si="8"/>
        <v>24</v>
      </c>
      <c r="AA32">
        <f t="shared" si="8"/>
        <v>25</v>
      </c>
      <c r="AB32">
        <f t="shared" si="8"/>
        <v>26</v>
      </c>
    </row>
    <row r="33" spans="1:30" x14ac:dyDescent="0.25">
      <c r="A33" t="s">
        <v>64</v>
      </c>
      <c r="B33" t="str">
        <f t="shared" ref="B33:AB33" si="9">IF(AND(B32&gt;0,B32&lt;($C$6+1)),"JA","NEE")</f>
        <v>NEE</v>
      </c>
      <c r="C33" t="str">
        <f t="shared" si="9"/>
        <v>JA</v>
      </c>
      <c r="D33" t="str">
        <f>IF(AND(D32&gt;0,D32&lt;($C$6+1)),"JA","NEE")</f>
        <v>JA</v>
      </c>
      <c r="E33" t="str">
        <f t="shared" si="9"/>
        <v>JA</v>
      </c>
      <c r="F33" t="str">
        <f t="shared" si="9"/>
        <v>JA</v>
      </c>
      <c r="G33" t="str">
        <f t="shared" si="9"/>
        <v>JA</v>
      </c>
      <c r="H33" t="str">
        <f t="shared" si="9"/>
        <v>JA</v>
      </c>
      <c r="I33" t="str">
        <f t="shared" si="9"/>
        <v>JA</v>
      </c>
      <c r="J33" t="str">
        <f t="shared" si="9"/>
        <v>JA</v>
      </c>
      <c r="K33" t="str">
        <f t="shared" si="9"/>
        <v>JA</v>
      </c>
      <c r="L33" t="str">
        <f t="shared" si="9"/>
        <v>JA</v>
      </c>
      <c r="M33" t="str">
        <f t="shared" si="9"/>
        <v>JA</v>
      </c>
      <c r="N33" t="str">
        <f t="shared" si="9"/>
        <v>JA</v>
      </c>
      <c r="O33" t="str">
        <f t="shared" si="9"/>
        <v>JA</v>
      </c>
      <c r="P33" t="str">
        <f t="shared" si="9"/>
        <v>JA</v>
      </c>
      <c r="Q33" t="str">
        <f t="shared" si="9"/>
        <v>JA</v>
      </c>
      <c r="R33" t="str">
        <f t="shared" si="9"/>
        <v>NEE</v>
      </c>
      <c r="S33" t="str">
        <f t="shared" si="9"/>
        <v>NEE</v>
      </c>
      <c r="T33" t="str">
        <f t="shared" si="9"/>
        <v>NEE</v>
      </c>
      <c r="U33" t="str">
        <f t="shared" si="9"/>
        <v>NEE</v>
      </c>
      <c r="V33" t="str">
        <f t="shared" si="9"/>
        <v>NEE</v>
      </c>
      <c r="W33" t="str">
        <f t="shared" si="9"/>
        <v>NEE</v>
      </c>
      <c r="X33" t="str">
        <f t="shared" si="9"/>
        <v>NEE</v>
      </c>
      <c r="Y33" t="str">
        <f t="shared" si="9"/>
        <v>NEE</v>
      </c>
      <c r="Z33" t="str">
        <f t="shared" si="9"/>
        <v>NEE</v>
      </c>
      <c r="AA33" t="str">
        <f t="shared" si="9"/>
        <v>NEE</v>
      </c>
      <c r="AB33" t="str">
        <f t="shared" si="9"/>
        <v>NEE</v>
      </c>
    </row>
    <row r="34" spans="1:30" x14ac:dyDescent="0.25">
      <c r="B34" s="3">
        <v>2024</v>
      </c>
      <c r="C34" s="3">
        <v>2025</v>
      </c>
      <c r="D34" s="3">
        <v>2026</v>
      </c>
      <c r="E34" s="3">
        <v>2027</v>
      </c>
      <c r="F34" s="3">
        <v>2028</v>
      </c>
      <c r="G34" s="3">
        <v>2029</v>
      </c>
      <c r="H34" s="3">
        <v>2030</v>
      </c>
      <c r="I34" s="3">
        <v>2031</v>
      </c>
      <c r="J34" s="3">
        <v>2032</v>
      </c>
      <c r="K34" s="3">
        <v>2033</v>
      </c>
      <c r="L34" s="3">
        <v>2034</v>
      </c>
      <c r="M34" s="3">
        <v>2035</v>
      </c>
      <c r="N34" s="3">
        <v>2036</v>
      </c>
      <c r="O34" s="3">
        <v>2037</v>
      </c>
      <c r="P34" s="3">
        <v>2038</v>
      </c>
      <c r="Q34" s="3">
        <v>2039</v>
      </c>
      <c r="R34" s="3">
        <v>2040</v>
      </c>
      <c r="S34" s="3">
        <v>2041</v>
      </c>
      <c r="T34" s="3">
        <v>2042</v>
      </c>
      <c r="U34" s="3">
        <v>2043</v>
      </c>
      <c r="V34" s="3">
        <v>2044</v>
      </c>
      <c r="W34" s="3">
        <v>2045</v>
      </c>
      <c r="X34" s="3">
        <v>2046</v>
      </c>
      <c r="Y34" s="3">
        <v>2047</v>
      </c>
      <c r="Z34" s="3">
        <v>2048</v>
      </c>
      <c r="AA34" s="3">
        <v>2049</v>
      </c>
      <c r="AB34" s="3">
        <v>2050</v>
      </c>
      <c r="AC34" s="3"/>
      <c r="AD34" s="3" t="s">
        <v>65</v>
      </c>
    </row>
    <row r="35" spans="1:30" x14ac:dyDescent="0.25">
      <c r="A35" t="s">
        <v>66</v>
      </c>
      <c r="B35" s="25" t="str">
        <f t="shared" ref="B35:AB35" si="10">IF(B33="JA",$C$1,"")</f>
        <v/>
      </c>
      <c r="C35" s="25">
        <f t="shared" si="10"/>
        <v>750</v>
      </c>
      <c r="D35" s="25">
        <f t="shared" si="10"/>
        <v>750</v>
      </c>
      <c r="E35" s="25">
        <f t="shared" si="10"/>
        <v>750</v>
      </c>
      <c r="F35" s="25">
        <f t="shared" si="10"/>
        <v>750</v>
      </c>
      <c r="G35" s="25">
        <f t="shared" si="10"/>
        <v>750</v>
      </c>
      <c r="H35" s="25">
        <f t="shared" si="10"/>
        <v>750</v>
      </c>
      <c r="I35" s="25">
        <f t="shared" si="10"/>
        <v>750</v>
      </c>
      <c r="J35" s="25">
        <f t="shared" si="10"/>
        <v>750</v>
      </c>
      <c r="K35" s="25">
        <f t="shared" si="10"/>
        <v>750</v>
      </c>
      <c r="L35" s="25">
        <f t="shared" si="10"/>
        <v>750</v>
      </c>
      <c r="M35" s="25">
        <f t="shared" si="10"/>
        <v>750</v>
      </c>
      <c r="N35" s="25">
        <f t="shared" si="10"/>
        <v>750</v>
      </c>
      <c r="O35" s="25">
        <f t="shared" si="10"/>
        <v>750</v>
      </c>
      <c r="P35" s="25">
        <f t="shared" si="10"/>
        <v>750</v>
      </c>
      <c r="Q35">
        <f t="shared" si="10"/>
        <v>750</v>
      </c>
      <c r="R35" t="str">
        <f t="shared" si="10"/>
        <v/>
      </c>
      <c r="S35" t="str">
        <f t="shared" si="10"/>
        <v/>
      </c>
      <c r="T35" t="str">
        <f t="shared" si="10"/>
        <v/>
      </c>
      <c r="U35" t="str">
        <f t="shared" si="10"/>
        <v/>
      </c>
      <c r="V35" t="str">
        <f t="shared" si="10"/>
        <v/>
      </c>
      <c r="W35" t="str">
        <f t="shared" si="10"/>
        <v/>
      </c>
      <c r="X35" t="str">
        <f t="shared" si="10"/>
        <v/>
      </c>
      <c r="Y35" t="str">
        <f t="shared" si="10"/>
        <v/>
      </c>
      <c r="Z35" t="str">
        <f t="shared" si="10"/>
        <v/>
      </c>
      <c r="AA35" t="str">
        <f t="shared" si="10"/>
        <v/>
      </c>
      <c r="AB35" t="str">
        <f t="shared" si="10"/>
        <v/>
      </c>
      <c r="AD35">
        <f>SUM(B35:AB35)</f>
        <v>11250</v>
      </c>
    </row>
    <row r="36" spans="1:30" x14ac:dyDescent="0.25">
      <c r="A36" s="13" t="s">
        <v>67</v>
      </c>
    </row>
    <row r="37" spans="1:30" x14ac:dyDescent="0.25">
      <c r="A37" t="s">
        <v>68</v>
      </c>
      <c r="B37" s="9" t="str">
        <f>IFERROR(B36*Prijzen!$B$83+(B35-B36)*B49,"")</f>
        <v/>
      </c>
      <c r="C37" s="9">
        <f>IFERROR(C36*Prijzen!$B$83+(C35-C36)*C49,"")</f>
        <v>938.62255848146617</v>
      </c>
      <c r="D37" s="9">
        <f>IFERROR(D36*Prijzen!$B$83+(D35-D36)*D49,"")</f>
        <v>921.54782978944331</v>
      </c>
      <c r="E37" s="9">
        <f>IFERROR(E36*Prijzen!$B$83+(E35-E36)*E49,"")</f>
        <v>909.64865694296327</v>
      </c>
      <c r="F37" s="9">
        <f>IFERROR(F36*Prijzen!$B$83+(F35-F36)*F49,"")</f>
        <v>916.77208630060647</v>
      </c>
      <c r="G37" s="9">
        <f>IFERROR(G36*Prijzen!$B$83+(G35-G36)*G49,"")</f>
        <v>950.35140200799549</v>
      </c>
      <c r="H37" s="9">
        <f>IFERROR(H36*Prijzen!$B$83+(H35-H36)*H49,"")</f>
        <v>974.35680314850913</v>
      </c>
      <c r="I37" s="9">
        <f>IFERROR(I36*Prijzen!$B$83+(I35-I36)*I49,"")</f>
        <v>987.18789314596927</v>
      </c>
      <c r="J37" s="9">
        <f>IFERROR(J36*Prijzen!$B$83+(J35-J36)*J49,"")</f>
        <v>1000.2756049433784</v>
      </c>
      <c r="K37" s="9">
        <f>IFERROR(K36*Prijzen!$B$83+(K35-K36)*K49,"")</f>
        <v>1013.625070976736</v>
      </c>
      <c r="L37" s="9">
        <f>IFERROR(L36*Prijzen!$B$83+(L35-L36)*L49,"")</f>
        <v>1027.2415263307605</v>
      </c>
      <c r="M37" s="9">
        <f>IFERROR(M36*Prijzen!$B$83+(M35-M36)*M49,"")</f>
        <v>1041.1303107918654</v>
      </c>
      <c r="N37" s="9">
        <f>IFERROR(N36*Prijzen!$B$83+(N35-N36)*N49,"")</f>
        <v>1055.2968709421928</v>
      </c>
      <c r="O37" s="9">
        <f>IFERROR(O36*Prijzen!$B$83+(O35-O36)*O49,"")</f>
        <v>1069.7467622955264</v>
      </c>
      <c r="P37" s="9">
        <f>IFERROR(P36*Prijzen!$B$83+(P35-P36)*P49,"")</f>
        <v>1084.4856514759267</v>
      </c>
      <c r="Q37" s="9">
        <f>IFERROR(Q36*Prijzen!$B$83+(Q35-Q36)*Q49,"")</f>
        <v>1099.519318439935</v>
      </c>
      <c r="R37" s="9" t="str">
        <f>IFERROR(R36*Prijzen!$B$83+(R35-R36)*R49,"")</f>
        <v/>
      </c>
      <c r="S37" s="9" t="str">
        <f>IFERROR(S36*Prijzen!$B$83+(S35-S36)*S49,"")</f>
        <v/>
      </c>
      <c r="T37" s="9" t="str">
        <f>IFERROR(T36*Prijzen!$B$83+(T35-T36)*T49,"")</f>
        <v/>
      </c>
      <c r="U37" s="9" t="str">
        <f>IFERROR(U36*Prijzen!$B$83+(U35-U36)*U49,"")</f>
        <v/>
      </c>
      <c r="V37" s="9" t="str">
        <f>IFERROR(V36*Prijzen!$B$83+(V35-V36)*V49,"")</f>
        <v/>
      </c>
      <c r="W37" s="9" t="str">
        <f>IFERROR(W36*Prijzen!$B$83+(W35-W36)*W49,"")</f>
        <v/>
      </c>
      <c r="X37" s="9" t="str">
        <f>IFERROR(X36*Prijzen!$B$83+(X35-X36)*X49,"")</f>
        <v/>
      </c>
      <c r="Y37" s="9" t="str">
        <f>IFERROR(Y36*Prijzen!$B$83+(Y35-Y36)*Y49,"")</f>
        <v/>
      </c>
      <c r="Z37" s="9" t="str">
        <f>IFERROR(Z36*Prijzen!$B$83+(Z35-Z36)*Z49,"")</f>
        <v/>
      </c>
      <c r="AA37" s="9" t="str">
        <f>IFERROR(AA36*Prijzen!$B$83+(AA35-AA36)*AA49,"")</f>
        <v/>
      </c>
      <c r="AB37" s="9" t="str">
        <f>IFERROR(AB36*Prijzen!$B$83+(AB35-AB36)*AB49,"")</f>
        <v/>
      </c>
      <c r="AC37" s="9"/>
      <c r="AD37" s="9">
        <f t="shared" ref="AD37:AD126" si="11">SUM(B37:AB37)</f>
        <v>14989.808346013273</v>
      </c>
    </row>
    <row r="38" spans="1:30" x14ac:dyDescent="0.25">
      <c r="A38" t="s">
        <v>69</v>
      </c>
      <c r="B38" s="9"/>
      <c r="C38" s="9">
        <f>$G$3*VLOOKUP($C$8,Prijzen!$B$38:$T$41,'Business case'!C31,FALSE)</f>
        <v>110.3560733116836</v>
      </c>
      <c r="D38" s="9">
        <f>$G$3*VLOOKUP($C$8,Prijzen!$B$38:$T$41,'Business case'!D31,FALSE)</f>
        <v>99.588264910409109</v>
      </c>
      <c r="E38" s="9">
        <f>$G$3*VLOOKUP($C$8,Prijzen!$B$38:$T$41,'Business case'!E31,FALSE)</f>
        <v>94.486497257670578</v>
      </c>
      <c r="F38" s="9">
        <f>$G$3*VLOOKUP($C$8,Prijzen!$B$38:$T$41,'Business case'!F31,FALSE)</f>
        <v>89.881927296219175</v>
      </c>
      <c r="G38" s="9">
        <f>$G$3*VLOOKUP($C$8,Prijzen!$B$38:$T$41,'Business case'!G31,FALSE)</f>
        <v>90.889848087941189</v>
      </c>
      <c r="H38" s="9">
        <f>$G$3*VLOOKUP($C$8,Prijzen!$B$38:$T$41,'Business case'!H31,FALSE)</f>
        <v>93.644920292265382</v>
      </c>
      <c r="I38" s="9">
        <f>$G$3*VLOOKUP($C$8,Prijzen!$B$38:$T$41,'Business case'!I31,FALSE)</f>
        <v>94.434433673061477</v>
      </c>
      <c r="J38" s="9">
        <f>$G$3*VLOOKUP($C$8,Prijzen!$B$38:$T$41,'Business case'!J31,FALSE)</f>
        <v>95.239737321473513</v>
      </c>
      <c r="K38" s="9">
        <f>$G$3*VLOOKUP($C$8,Prijzen!$B$38:$T$41,'Business case'!K31,FALSE)</f>
        <v>96.061147042853761</v>
      </c>
      <c r="L38" s="9">
        <f>$G$3*VLOOKUP($C$8,Prijzen!$B$38:$T$41,'Business case'!L31,FALSE)</f>
        <v>96.898984958661615</v>
      </c>
      <c r="M38" s="9">
        <f>$G$3*VLOOKUP($C$8,Prijzen!$B$38:$T$41,'Business case'!M31,FALSE)</f>
        <v>97.75357963278563</v>
      </c>
      <c r="N38" s="9">
        <f>$G$3*VLOOKUP($C$8,Prijzen!$B$38:$T$41,'Business case'!N31,FALSE)</f>
        <v>98.625266200392133</v>
      </c>
      <c r="O38" s="9">
        <f>$G$3*VLOOKUP($C$8,Prijzen!$B$38:$T$41,'Business case'!O31,FALSE)</f>
        <v>99.514386499350763</v>
      </c>
      <c r="P38" s="9">
        <f>$G$3*VLOOKUP($C$8,Prijzen!$B$38:$T$41,'Business case'!P31,FALSE)</f>
        <v>100.42128920428857</v>
      </c>
      <c r="Q38" s="9">
        <f>$G$3*VLOOKUP($C$8,Prijzen!$B$38:$T$41,'Business case'!Q31,FALSE)</f>
        <v>101.34632996332513</v>
      </c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>
        <f t="shared" si="11"/>
        <v>1459.1426856523817</v>
      </c>
    </row>
    <row r="39" spans="1:30" x14ac:dyDescent="0.25">
      <c r="A39" t="s">
        <v>70</v>
      </c>
      <c r="B39" s="9">
        <f>IF(B33="JA",-PMT($C$17,Kengetallen!$B$7,Kengetallen!$B$6*Investering!$M$2,0,1),0)</f>
        <v>0</v>
      </c>
      <c r="C39" s="9">
        <f>IF(C33="JA",-PMT($C$17,Kengetallen!$B$7,Kengetallen!$B$6*Investering!$M$2,0,1),0)</f>
        <v>148.15438999509544</v>
      </c>
      <c r="D39" s="9">
        <f>IF(D33="JA",-PMT($C$17,Kengetallen!$B$7,Kengetallen!$B$6*Investering!$M$2,0,1),0)</f>
        <v>148.15438999509544</v>
      </c>
      <c r="E39" s="9">
        <f>IF(E33="JA",-PMT($C$17,Kengetallen!$B$7,Kengetallen!$B$6*Investering!$M$2,0,1),0)</f>
        <v>148.15438999509544</v>
      </c>
      <c r="F39" s="9">
        <f>IF(F33="JA",-PMT($C$17,Kengetallen!$B$7,Kengetallen!$B$6*Investering!$M$2,0,1),0)</f>
        <v>148.15438999509544</v>
      </c>
      <c r="G39" s="9">
        <f>IF(G33="JA",-PMT($C$17,Kengetallen!$B$7,Kengetallen!$B$6*Investering!$M$2,0,1),0)</f>
        <v>148.15438999509544</v>
      </c>
      <c r="H39" s="9">
        <f>IF(H33="JA",-PMT($C$17,Kengetallen!$B$7,Kengetallen!$B$6*Investering!$M$2,0,1),0)</f>
        <v>148.15438999509544</v>
      </c>
      <c r="I39" s="9">
        <f>IF(I33="JA",-PMT($C$17,Kengetallen!$B$7,Kengetallen!$B$6*Investering!$M$2,0,1),0)</f>
        <v>148.15438999509544</v>
      </c>
      <c r="J39" s="9">
        <f>IF(J33="JA",-PMT($C$17,Kengetallen!$B$7,Kengetallen!$B$6*Investering!$M$2,0,1),0)</f>
        <v>148.15438999509544</v>
      </c>
      <c r="K39" s="9">
        <f>IF(K33="JA",-PMT($C$17,Kengetallen!$B$7,Kengetallen!$B$6*Investering!$M$2,0,1),0)</f>
        <v>148.15438999509544</v>
      </c>
      <c r="L39" s="9">
        <f>IF(L33="JA",-PMT($C$17,Kengetallen!$B$7,Kengetallen!$B$6*Investering!$M$2,0,1),0)</f>
        <v>148.15438999509544</v>
      </c>
      <c r="M39" s="9">
        <f>IF(M33="JA",-PMT($C$17,Kengetallen!$B$7,Kengetallen!$B$6*Investering!$M$2,0,1),0)</f>
        <v>148.15438999509544</v>
      </c>
      <c r="N39" s="9">
        <f>IF(N33="JA",-PMT($C$17,Kengetallen!$B$7,Kengetallen!$B$6*Investering!$M$2,0,1),0)</f>
        <v>148.15438999509544</v>
      </c>
      <c r="O39" s="9">
        <f>IF(O33="JA",-PMT($C$17,Kengetallen!$B$7,Kengetallen!$B$6*Investering!$M$2,0,1),0)</f>
        <v>148.15438999509544</v>
      </c>
      <c r="P39" s="9">
        <f>IF(P33="JA",-PMT($C$17,Kengetallen!$B$7,Kengetallen!$B$6*Investering!$M$2,0,1),0)</f>
        <v>148.15438999509544</v>
      </c>
      <c r="Q39" s="9">
        <f>IF(Q33="JA",-PMT($C$17,Kengetallen!$B$7,Kengetallen!$B$6*Investering!$M$2,0,1),0)</f>
        <v>148.15438999509544</v>
      </c>
      <c r="R39" s="9">
        <f>IF(R33="JA",-PMT($C$17,Kengetallen!$B$7,Kengetallen!$B$6*Investering!$M$2,0,1),0)</f>
        <v>0</v>
      </c>
      <c r="S39" s="9">
        <f>IF(S33="JA",-PMT($C$17,Kengetallen!$B$7,Kengetallen!$B$6*Investering!$M$2,0,1),0)</f>
        <v>0</v>
      </c>
      <c r="T39" s="9">
        <f>IF(T33="JA",-PMT($C$17,Kengetallen!$B$7,Kengetallen!$B$6*Investering!$M$2,0,1),0)</f>
        <v>0</v>
      </c>
      <c r="U39" s="9">
        <f>IF(U33="JA",-PMT($C$17,Kengetallen!$B$7,Kengetallen!$B$6*Investering!$M$2,0,1),0)</f>
        <v>0</v>
      </c>
      <c r="V39" s="9">
        <f>IF(V33="JA",-PMT($C$17,Kengetallen!$B$7,Kengetallen!$B$6*Investering!$M$2,0,1),0)</f>
        <v>0</v>
      </c>
      <c r="W39" s="9">
        <f>IF(W33="JA",-PMT($C$17,Kengetallen!$B$7,Kengetallen!$B$6*Investering!$M$2,0,1),0)</f>
        <v>0</v>
      </c>
      <c r="X39" s="9">
        <f>IF(X33="JA",-PMT($C$17,Kengetallen!$B$7,Kengetallen!$B$6*Investering!$M$2,0,1),0)</f>
        <v>0</v>
      </c>
      <c r="Y39" s="9">
        <f>IF(Y33="JA",-PMT($C$17,Kengetallen!$B$7,Kengetallen!$B$6*Investering!$M$2,0,1),0)</f>
        <v>0</v>
      </c>
      <c r="Z39" s="9">
        <f>IF(Z33="JA",-PMT($C$17,Kengetallen!$B$7,Kengetallen!$B$6*Investering!$M$2,0,1),0)</f>
        <v>0</v>
      </c>
      <c r="AA39" s="9">
        <f>IF(AA33="JA",-PMT($C$17,Kengetallen!$B$7,Kengetallen!$B$6*Investering!$M$2,0,1),0)</f>
        <v>0</v>
      </c>
      <c r="AB39" s="9">
        <f>IF(AB33="JA",-PMT($C$17,Kengetallen!$B$7,Kengetallen!$B$6*Investering!$M$2,0,1),0)</f>
        <v>0</v>
      </c>
      <c r="AC39" s="9"/>
      <c r="AD39" s="9">
        <f t="shared" si="11"/>
        <v>2222.3158499264314</v>
      </c>
    </row>
    <row r="40" spans="1:30" x14ac:dyDescent="0.25">
      <c r="A40" t="s">
        <v>21</v>
      </c>
      <c r="B40" s="9">
        <f>IF(B33="JA",Kengetallen!$B$5*(1+Kengetallen!$B$2)^'Business case'!B$32,0)</f>
        <v>0</v>
      </c>
      <c r="C40" s="9">
        <f>IF(C33="JA",Kengetallen!$B$5*(1+Kengetallen!$B$2)^'Business case'!C$32,0)</f>
        <v>145.91439999999997</v>
      </c>
      <c r="D40" s="9">
        <f>IF(D33="JA",Kengetallen!$B$5*(1+Kengetallen!$B$2)^'Business case'!D$32,0)</f>
        <v>148.83268799999999</v>
      </c>
      <c r="E40" s="9">
        <f>IF(E33="JA",Kengetallen!$B$5*(1+Kengetallen!$B$2)^'Business case'!E$32,0)</f>
        <v>151.80934175999997</v>
      </c>
      <c r="F40" s="9">
        <f>IF(F33="JA",Kengetallen!$B$5*(1+Kengetallen!$B$2)^'Business case'!F$32,0)</f>
        <v>154.84552859519997</v>
      </c>
      <c r="G40" s="9">
        <f>IF(G33="JA",Kengetallen!$B$5*(1+Kengetallen!$B$2)^'Business case'!G$32,0)</f>
        <v>157.94243916710397</v>
      </c>
      <c r="H40" s="9">
        <f>IF(H33="JA",Kengetallen!$B$5*(1+Kengetallen!$B$2)^'Business case'!H$32,0)</f>
        <v>161.10128795044608</v>
      </c>
      <c r="I40" s="9">
        <f>IF(I33="JA",Kengetallen!$B$5*(1+Kengetallen!$B$2)^'Business case'!I$32,0)</f>
        <v>164.32331370945496</v>
      </c>
      <c r="J40" s="9">
        <f>IF(J33="JA",Kengetallen!$B$5*(1+Kengetallen!$B$2)^'Business case'!J$32,0)</f>
        <v>167.60977998364407</v>
      </c>
      <c r="K40" s="9">
        <f>IF(K33="JA",Kengetallen!$B$5*(1+Kengetallen!$B$2)^'Business case'!K$32,0)</f>
        <v>170.96197558331696</v>
      </c>
      <c r="L40" s="9">
        <f>IF(L33="JA",Kengetallen!$B$5*(1+Kengetallen!$B$2)^'Business case'!L$32,0)</f>
        <v>174.3812150949833</v>
      </c>
      <c r="M40" s="9">
        <f>IF(M33="JA",Kengetallen!$B$5*(1+Kengetallen!$B$2)^'Business case'!M$32,0)</f>
        <v>177.86883939688292</v>
      </c>
      <c r="N40" s="9">
        <f>IF(N33="JA",Kengetallen!$B$5*(1+Kengetallen!$B$2)^'Business case'!N$32,0)</f>
        <v>181.42621618482062</v>
      </c>
      <c r="O40" s="9">
        <f>IF(O33="JA",Kengetallen!$B$5*(1+Kengetallen!$B$2)^'Business case'!O$32,0)</f>
        <v>185.05474050851703</v>
      </c>
      <c r="P40" s="9">
        <f>IF(P33="JA",Kengetallen!$B$5*(1+Kengetallen!$B$2)^'Business case'!P$32,0)</f>
        <v>188.75583531868739</v>
      </c>
      <c r="Q40" s="9">
        <f>IF(Q33="JA",Kengetallen!$B$5*(1+Kengetallen!$B$2)^'Business case'!Q$32,0)</f>
        <v>192.53095202506108</v>
      </c>
      <c r="R40" s="9">
        <f>IF(R33="JA",Kengetallen!$B$5*(1+Kengetallen!$B$2)^'Business case'!R$32,0)</f>
        <v>0</v>
      </c>
      <c r="S40" s="9">
        <f>IF(S33="JA",Kengetallen!$B$5*(1+Kengetallen!$B$2)^'Business case'!S$32,0)</f>
        <v>0</v>
      </c>
      <c r="T40" s="9">
        <f>IF(T33="JA",Kengetallen!$B$5*(1+Kengetallen!$B$2)^'Business case'!T$32,0)</f>
        <v>0</v>
      </c>
      <c r="U40" s="9">
        <f>IF(U33="JA",Kengetallen!$B$5*(1+Kengetallen!$B$2)^'Business case'!U$32,0)</f>
        <v>0</v>
      </c>
      <c r="V40" s="9">
        <f>IF(V33="JA",Kengetallen!$B$5*(1+Kengetallen!$B$2)^'Business case'!V$32,0)</f>
        <v>0</v>
      </c>
      <c r="W40" s="9">
        <f>IF(W33="JA",Kengetallen!$B$5*(1+Kengetallen!$B$2)^'Business case'!W$32,0)</f>
        <v>0</v>
      </c>
      <c r="X40" s="9">
        <f>IF(X33="JA",Kengetallen!$B$5*(1+Kengetallen!$B$2)^'Business case'!X$32,0)</f>
        <v>0</v>
      </c>
      <c r="Y40" s="9">
        <f>IF(Y33="JA",Kengetallen!$B$5*(1+Kengetallen!$B$2)^'Business case'!Y$32,0)</f>
        <v>0</v>
      </c>
      <c r="Z40" s="9">
        <f>IF(Z33="JA",Kengetallen!$B$5*(1+Kengetallen!$B$2)^'Business case'!Z$32,0)</f>
        <v>0</v>
      </c>
      <c r="AA40" s="9">
        <f>IF(AA33="JA",Kengetallen!$B$5*(1+Kengetallen!$B$2)^'Business case'!AA$32,0)</f>
        <v>0</v>
      </c>
      <c r="AB40" s="9">
        <f>IF(AB33="JA",Kengetallen!$B$5*(1+Kengetallen!$B$2)^'Business case'!AB$32,0)</f>
        <v>0</v>
      </c>
      <c r="AC40" s="9"/>
      <c r="AD40" s="9">
        <f t="shared" si="11"/>
        <v>2523.3585532781181</v>
      </c>
    </row>
    <row r="41" spans="1:30" x14ac:dyDescent="0.25">
      <c r="A41" t="s">
        <v>71</v>
      </c>
      <c r="B41" s="9">
        <f>IF(B33="JA",Prijzen!D78,0)</f>
        <v>0</v>
      </c>
      <c r="C41" s="9">
        <f>IF(C33="JA",Prijzen!E78,0)</f>
        <v>294.30314999999996</v>
      </c>
      <c r="D41" s="9">
        <f>IF(D33="JA",Prijzen!F78,0)</f>
        <v>300.189213</v>
      </c>
      <c r="E41" s="9">
        <f>IF(E33="JA",Prijzen!G78,0)</f>
        <v>306.19299725999997</v>
      </c>
      <c r="F41" s="9">
        <f>IF(F33="JA",Prijzen!H78,0)</f>
        <v>312.31685720519999</v>
      </c>
      <c r="G41" s="9">
        <f>IF(G33="JA",Prijzen!I78,0)</f>
        <v>318.56319434930401</v>
      </c>
      <c r="H41" s="9">
        <f>IF(H33="JA",Prijzen!J78,0)</f>
        <v>324.93445823629008</v>
      </c>
      <c r="I41" s="9">
        <f>IF(I33="JA",Prijzen!K78,0)</f>
        <v>331.4331474010159</v>
      </c>
      <c r="J41" s="9">
        <f>IF(J33="JA",Prijzen!L78,0)</f>
        <v>338.06181034903625</v>
      </c>
      <c r="K41" s="9">
        <f>IF(K33="JA",Prijzen!M78,0)</f>
        <v>344.82304655601695</v>
      </c>
      <c r="L41" s="9">
        <f>IF(L33="JA",Prijzen!N78,0)</f>
        <v>351.71950748713732</v>
      </c>
      <c r="M41" s="9">
        <f>IF(M33="JA",Prijzen!O78,0)</f>
        <v>358.75389763688003</v>
      </c>
      <c r="N41" s="9">
        <f>IF(N33="JA",Prijzen!P78,0)</f>
        <v>365.92897558961766</v>
      </c>
      <c r="O41" s="9">
        <f>IF(O33="JA",Prijzen!Q78,0)</f>
        <v>373.24755510141006</v>
      </c>
      <c r="P41" s="9">
        <f>IF(P33="JA",Prijzen!R78,0)</f>
        <v>380.71250620343824</v>
      </c>
      <c r="Q41" s="9">
        <f>IF(Q33="JA",Prijzen!S78,0)</f>
        <v>388.32675632750704</v>
      </c>
      <c r="R41" s="9">
        <f>IF(R33="JA",Prijzen!$T$78,0)</f>
        <v>0</v>
      </c>
      <c r="S41" s="9">
        <f>IF(S33="JA",Prijzen!$T$78,0)</f>
        <v>0</v>
      </c>
      <c r="T41" s="9">
        <f>IF(T33="JA",Prijzen!$T$78,0)</f>
        <v>0</v>
      </c>
      <c r="U41" s="9">
        <f>IF(U33="JA",Prijzen!$T$78,0)</f>
        <v>0</v>
      </c>
      <c r="V41" s="9">
        <f>IF(V33="JA",Prijzen!$T$78,0)</f>
        <v>0</v>
      </c>
      <c r="W41" s="9">
        <f>IF(W33="JA",Prijzen!$T$78,0)</f>
        <v>0</v>
      </c>
      <c r="X41" s="9">
        <f>IF(X33="JA",Prijzen!$T$78,0)</f>
        <v>0</v>
      </c>
      <c r="Y41" s="9">
        <f>IF(Y33="JA",Prijzen!$T$78,0)</f>
        <v>0</v>
      </c>
      <c r="Z41" s="9">
        <f>IF(Z33="JA",Prijzen!$T$78,0)</f>
        <v>0</v>
      </c>
      <c r="AA41" s="9">
        <f>IF(AA33="JA",Prijzen!$T$78,0)</f>
        <v>0</v>
      </c>
      <c r="AB41" s="9">
        <f>IF(AB33="JA",Prijzen!$T$78,0)</f>
        <v>0</v>
      </c>
      <c r="AC41" s="9"/>
      <c r="AD41" s="9">
        <f t="shared" si="11"/>
        <v>5089.5070727028533</v>
      </c>
    </row>
    <row r="42" spans="1:30" x14ac:dyDescent="0.25">
      <c r="A42" s="3" t="s">
        <v>36</v>
      </c>
      <c r="B42" s="17">
        <f t="shared" ref="B42:R42" si="12">SUM(B37:B41)</f>
        <v>0</v>
      </c>
      <c r="C42" s="17">
        <f t="shared" si="12"/>
        <v>1637.3505717882451</v>
      </c>
      <c r="D42" s="17">
        <f t="shared" si="12"/>
        <v>1618.3123856949478</v>
      </c>
      <c r="E42" s="17">
        <f t="shared" si="12"/>
        <v>1610.2918832157293</v>
      </c>
      <c r="F42" s="17">
        <f t="shared" si="12"/>
        <v>1621.970789392321</v>
      </c>
      <c r="G42" s="17">
        <f t="shared" si="12"/>
        <v>1665.9012736074401</v>
      </c>
      <c r="H42" s="17">
        <f t="shared" si="12"/>
        <v>1702.191859622606</v>
      </c>
      <c r="I42" s="17">
        <f t="shared" si="12"/>
        <v>1725.5331779245971</v>
      </c>
      <c r="J42" s="17">
        <f t="shared" si="12"/>
        <v>1749.3413225926276</v>
      </c>
      <c r="K42" s="17">
        <f t="shared" si="12"/>
        <v>1773.6256301540188</v>
      </c>
      <c r="L42" s="17">
        <f t="shared" si="12"/>
        <v>1798.3956238666383</v>
      </c>
      <c r="M42" s="17">
        <f t="shared" si="12"/>
        <v>1823.6610174535097</v>
      </c>
      <c r="N42" s="17">
        <f t="shared" si="12"/>
        <v>1849.4317189121186</v>
      </c>
      <c r="O42" s="17">
        <f t="shared" si="12"/>
        <v>1875.7178343998999</v>
      </c>
      <c r="P42" s="17">
        <f t="shared" si="12"/>
        <v>1902.5296721974364</v>
      </c>
      <c r="Q42" s="17">
        <f t="shared" si="12"/>
        <v>1929.877746750924</v>
      </c>
      <c r="R42" s="17">
        <f t="shared" si="12"/>
        <v>0</v>
      </c>
      <c r="S42" s="17">
        <f t="shared" ref="S42:AB42" si="13">SUM(S37:S41)</f>
        <v>0</v>
      </c>
      <c r="T42" s="17">
        <f t="shared" si="13"/>
        <v>0</v>
      </c>
      <c r="U42" s="17">
        <f t="shared" si="13"/>
        <v>0</v>
      </c>
      <c r="V42" s="17">
        <f t="shared" si="13"/>
        <v>0</v>
      </c>
      <c r="W42" s="17">
        <f t="shared" si="13"/>
        <v>0</v>
      </c>
      <c r="X42" s="17">
        <f t="shared" si="13"/>
        <v>0</v>
      </c>
      <c r="Y42" s="17">
        <f t="shared" si="13"/>
        <v>0</v>
      </c>
      <c r="Z42" s="17">
        <f t="shared" si="13"/>
        <v>0</v>
      </c>
      <c r="AA42" s="17">
        <f t="shared" si="13"/>
        <v>0</v>
      </c>
      <c r="AB42" s="17">
        <f t="shared" si="13"/>
        <v>0</v>
      </c>
      <c r="AC42" s="17"/>
      <c r="AD42" s="17">
        <f t="shared" si="11"/>
        <v>26284.13250757306</v>
      </c>
    </row>
    <row r="43" spans="1:30" x14ac:dyDescent="0.25">
      <c r="A43" s="13"/>
    </row>
    <row r="44" spans="1:30" x14ac:dyDescent="0.25">
      <c r="A44" s="27" t="s">
        <v>310</v>
      </c>
    </row>
    <row r="45" spans="1:30" x14ac:dyDescent="0.25">
      <c r="A45" t="s">
        <v>72</v>
      </c>
      <c r="B45">
        <f t="shared" ref="B45:AB45" si="14">IF(B33="JA",$C$1*(1-$C$4)*(1-$C$3),0)</f>
        <v>0</v>
      </c>
      <c r="C45">
        <f t="shared" si="14"/>
        <v>0</v>
      </c>
      <c r="D45">
        <f t="shared" si="14"/>
        <v>0</v>
      </c>
      <c r="E45">
        <f t="shared" si="14"/>
        <v>0</v>
      </c>
      <c r="F45">
        <f t="shared" si="14"/>
        <v>0</v>
      </c>
      <c r="G45">
        <f t="shared" si="14"/>
        <v>0</v>
      </c>
      <c r="H45">
        <f t="shared" si="14"/>
        <v>0</v>
      </c>
      <c r="I45">
        <f t="shared" si="14"/>
        <v>0</v>
      </c>
      <c r="J45">
        <f t="shared" si="14"/>
        <v>0</v>
      </c>
      <c r="K45">
        <f t="shared" si="14"/>
        <v>0</v>
      </c>
      <c r="L45">
        <f t="shared" si="14"/>
        <v>0</v>
      </c>
      <c r="M45">
        <f t="shared" si="14"/>
        <v>0</v>
      </c>
      <c r="N45">
        <f t="shared" si="14"/>
        <v>0</v>
      </c>
      <c r="O45">
        <f t="shared" si="14"/>
        <v>0</v>
      </c>
      <c r="P45" s="25">
        <f t="shared" si="14"/>
        <v>0</v>
      </c>
      <c r="Q45" s="25">
        <f t="shared" si="14"/>
        <v>0</v>
      </c>
      <c r="R45" s="25">
        <f t="shared" si="14"/>
        <v>0</v>
      </c>
      <c r="S45" s="25">
        <f t="shared" si="14"/>
        <v>0</v>
      </c>
      <c r="T45" s="25">
        <f t="shared" si="14"/>
        <v>0</v>
      </c>
      <c r="U45" s="25">
        <f t="shared" si="14"/>
        <v>0</v>
      </c>
      <c r="V45" s="25">
        <f t="shared" si="14"/>
        <v>0</v>
      </c>
      <c r="W45" s="25">
        <f t="shared" si="14"/>
        <v>0</v>
      </c>
      <c r="X45" s="25">
        <f t="shared" si="14"/>
        <v>0</v>
      </c>
      <c r="Y45" s="25">
        <f t="shared" si="14"/>
        <v>0</v>
      </c>
      <c r="Z45" s="25">
        <f t="shared" si="14"/>
        <v>0</v>
      </c>
      <c r="AA45" s="25">
        <f t="shared" si="14"/>
        <v>0</v>
      </c>
      <c r="AB45" s="25">
        <f t="shared" si="14"/>
        <v>0</v>
      </c>
      <c r="AC45" s="25"/>
      <c r="AD45" s="25">
        <f t="shared" si="11"/>
        <v>0</v>
      </c>
    </row>
    <row r="46" spans="1:30" x14ac:dyDescent="0.25">
      <c r="A46" s="13" t="s">
        <v>67</v>
      </c>
      <c r="AD46">
        <f t="shared" si="11"/>
        <v>0</v>
      </c>
    </row>
    <row r="47" spans="1:30" x14ac:dyDescent="0.25">
      <c r="A47" t="s">
        <v>73</v>
      </c>
      <c r="B47" s="25">
        <f>IF(B33="JA",$C$1*(1-$C$3)*$C$4*9.5/$C$14,0)</f>
        <v>0</v>
      </c>
      <c r="C47" s="25">
        <f>IF(C33="JA",$C$1*(1-$C$3)*$C$4*9.5/$C$14,0)</f>
        <v>1452.075</v>
      </c>
      <c r="D47" s="25">
        <f t="shared" ref="D47:AB47" si="15">IF(D33="JA",$C$1*(1-$C$3)*$C$4*9.5/$C$14,0)</f>
        <v>1452.075</v>
      </c>
      <c r="E47" s="25">
        <f t="shared" si="15"/>
        <v>1452.075</v>
      </c>
      <c r="F47" s="25">
        <f t="shared" si="15"/>
        <v>1452.075</v>
      </c>
      <c r="G47" s="25">
        <f t="shared" si="15"/>
        <v>1452.075</v>
      </c>
      <c r="H47" s="25">
        <f t="shared" si="15"/>
        <v>1452.075</v>
      </c>
      <c r="I47" s="25">
        <f t="shared" si="15"/>
        <v>1452.075</v>
      </c>
      <c r="J47" s="25">
        <f>IF(J33="JA",$C$1*(1-$C$3)*$C$4*9.5/$C$14,0)</f>
        <v>1452.075</v>
      </c>
      <c r="K47" s="25">
        <f>IF(K33="JA",$C$1*(1-$C$3)*$C$4*9.5/$C$14,0)</f>
        <v>1452.075</v>
      </c>
      <c r="L47" s="25">
        <f t="shared" si="15"/>
        <v>1452.075</v>
      </c>
      <c r="M47" s="25">
        <f t="shared" si="15"/>
        <v>1452.075</v>
      </c>
      <c r="N47" s="25">
        <f t="shared" si="15"/>
        <v>1452.075</v>
      </c>
      <c r="O47" s="25">
        <f t="shared" si="15"/>
        <v>1452.075</v>
      </c>
      <c r="P47" s="25">
        <f t="shared" si="15"/>
        <v>1452.075</v>
      </c>
      <c r="Q47" s="25">
        <f t="shared" si="15"/>
        <v>1452.075</v>
      </c>
      <c r="R47" s="25">
        <f t="shared" si="15"/>
        <v>0</v>
      </c>
      <c r="S47" s="25">
        <f t="shared" si="15"/>
        <v>0</v>
      </c>
      <c r="T47" s="25">
        <f t="shared" si="15"/>
        <v>0</v>
      </c>
      <c r="U47" s="25">
        <f t="shared" si="15"/>
        <v>0</v>
      </c>
      <c r="V47" s="25">
        <f t="shared" si="15"/>
        <v>0</v>
      </c>
      <c r="W47" s="25">
        <f t="shared" si="15"/>
        <v>0</v>
      </c>
      <c r="X47" s="25">
        <f t="shared" si="15"/>
        <v>0</v>
      </c>
      <c r="Y47" s="25">
        <f t="shared" si="15"/>
        <v>0</v>
      </c>
      <c r="Z47" s="25">
        <f t="shared" si="15"/>
        <v>0</v>
      </c>
      <c r="AA47" s="25">
        <f t="shared" si="15"/>
        <v>0</v>
      </c>
      <c r="AB47" s="25">
        <f t="shared" si="15"/>
        <v>0</v>
      </c>
      <c r="AC47" s="25"/>
      <c r="AD47" s="25">
        <f t="shared" si="11"/>
        <v>21781.125000000007</v>
      </c>
    </row>
    <row r="48" spans="1:30" x14ac:dyDescent="0.25">
      <c r="A48" s="13" t="s">
        <v>67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>
        <f t="shared" si="11"/>
        <v>0</v>
      </c>
    </row>
    <row r="49" spans="1:30" x14ac:dyDescent="0.25">
      <c r="A49" t="s">
        <v>74</v>
      </c>
      <c r="B49" s="24">
        <f>VLOOKUP($C$8,Prijzen!$B$32:$T$35,'Business case'!B31,FALSE)</f>
        <v>1.248756086373378</v>
      </c>
      <c r="C49" s="24">
        <f>VLOOKUP($C$8,Prijzen!$B$32:$T$35,'Business case'!C31,FALSE)</f>
        <v>1.2514967446419549</v>
      </c>
      <c r="D49" s="24">
        <f>VLOOKUP($C$8,Prijzen!$B$32:$T$35,'Business case'!D31,FALSE)</f>
        <v>1.2287304397192578</v>
      </c>
      <c r="E49" s="24">
        <f>VLOOKUP($C$8,Prijzen!$B$32:$T$35,'Business case'!E31,FALSE)</f>
        <v>1.2128648759239511</v>
      </c>
      <c r="F49" s="24">
        <f>VLOOKUP($C$8,Prijzen!$B$32:$T$35,'Business case'!F31,FALSE)</f>
        <v>1.222362781734142</v>
      </c>
      <c r="G49" s="24">
        <f>VLOOKUP($C$8,Prijzen!$B$32:$T$35,'Business case'!G31,FALSE)</f>
        <v>1.2671352026773273</v>
      </c>
      <c r="H49" s="24">
        <f>VLOOKUP($C$8,Prijzen!$B$32:$T$35,'Business case'!H31,FALSE)</f>
        <v>1.2991424041980122</v>
      </c>
      <c r="I49" s="24">
        <f>VLOOKUP($C$8,Prijzen!$B$32:$T$35,'Business case'!I31,FALSE)</f>
        <v>1.3162505241946256</v>
      </c>
      <c r="J49" s="24">
        <f>VLOOKUP($C$8,Prijzen!$B$32:$T$35,'Business case'!J31,FALSE)</f>
        <v>1.3337008065911713</v>
      </c>
      <c r="K49" s="24">
        <f>VLOOKUP($C$8,Prijzen!$B$32:$T$35,'Business case'!K31,FALSE)</f>
        <v>1.3515000946356479</v>
      </c>
      <c r="L49" s="24">
        <f>VLOOKUP($C$8,Prijzen!$B$32:$T$35,'Business case'!L31,FALSE)</f>
        <v>1.369655368441014</v>
      </c>
      <c r="M49" s="24">
        <f>VLOOKUP($C$8,Prijzen!$B$32:$T$35,'Business case'!M31,FALSE)</f>
        <v>1.3881737477224874</v>
      </c>
      <c r="N49" s="24">
        <f>VLOOKUP($C$8,Prijzen!$B$32:$T$35,'Business case'!N31,FALSE)</f>
        <v>1.4070624945895902</v>
      </c>
      <c r="O49" s="24">
        <f>VLOOKUP($C$8,Prijzen!$B$32:$T$35,'Business case'!O31,FALSE)</f>
        <v>1.4263290163940352</v>
      </c>
      <c r="P49" s="24">
        <f>VLOOKUP($C$8,Prijzen!$B$32:$T$35,'Business case'!P31,FALSE)</f>
        <v>1.445980868634569</v>
      </c>
      <c r="Q49" s="24">
        <f>VLOOKUP($C$8,Prijzen!$B$32:$T$35,'Business case'!Q31,FALSE)</f>
        <v>1.4660257579199134</v>
      </c>
      <c r="R49" s="24">
        <f>VLOOKUP($C$8,Prijzen!$B$32:$T$35,'Business case'!R31,FALSE)</f>
        <v>1.4864715449909649</v>
      </c>
      <c r="S49" s="24">
        <f>VLOOKUP($C$8,Prijzen!$B$32:$T$35,'Business case'!S31,FALSE)</f>
        <v>1.2991424041980122</v>
      </c>
      <c r="T49" s="24">
        <f>VLOOKUP($C$8,Prijzen!$B$32:$T$35,'Business case'!T31,FALSE)</f>
        <v>1.2991424041980122</v>
      </c>
      <c r="U49" s="24">
        <f>VLOOKUP($C$8,Prijzen!$B$32:$T$35,'Business case'!U31,FALSE)</f>
        <v>1.2991424041980122</v>
      </c>
      <c r="V49" s="24">
        <f>VLOOKUP($C$8,Prijzen!$B$32:$T$35,'Business case'!V31,FALSE)</f>
        <v>1.2991424041980122</v>
      </c>
      <c r="W49" s="24">
        <f>VLOOKUP($C$8,Prijzen!$B$32:$T$35,'Business case'!W31,FALSE)</f>
        <v>1.2991424041980122</v>
      </c>
      <c r="X49" s="24">
        <f>VLOOKUP($C$8,Prijzen!$B$32:$T$35,'Business case'!X31,FALSE)</f>
        <v>1.2991424041980122</v>
      </c>
      <c r="Y49" s="24">
        <f>VLOOKUP($C$8,Prijzen!$B$32:$T$35,'Business case'!Y31,FALSE)</f>
        <v>1.2991424041980122</v>
      </c>
      <c r="Z49" s="24">
        <f>VLOOKUP($C$8,Prijzen!$B$32:$T$35,'Business case'!Z31,FALSE)</f>
        <v>1.2991424041980122</v>
      </c>
      <c r="AA49" s="24">
        <f>VLOOKUP($C$8,Prijzen!$B$32:$T$35,'Business case'!AA31,FALSE)</f>
        <v>1.2991424041980122</v>
      </c>
      <c r="AB49" s="24">
        <f>VLOOKUP($C$8,Prijzen!$B$32:$T$35,'Business case'!AB31,FALSE)</f>
        <v>1.2991424041980122</v>
      </c>
      <c r="AC49" s="24"/>
      <c r="AD49" s="24">
        <f t="shared" si="11"/>
        <v>35.713062801362163</v>
      </c>
    </row>
    <row r="50" spans="1:30" x14ac:dyDescent="0.25">
      <c r="A50" t="s">
        <v>75</v>
      </c>
      <c r="B50" s="24">
        <f>VLOOKUP($C$8,Prijzen!$B$38:$T$41,'Business case'!B31,FALSE)</f>
        <v>0.30772435747266325</v>
      </c>
      <c r="C50" s="24">
        <f>VLOOKUP($C$8,Prijzen!$B$38:$T$41,'Business case'!C31,FALSE)</f>
        <v>0.275890183279209</v>
      </c>
      <c r="D50" s="24">
        <f>VLOOKUP($C$8,Prijzen!$B$38:$T$41,'Business case'!D31,FALSE)</f>
        <v>0.24897066227602277</v>
      </c>
      <c r="E50" s="24">
        <f>VLOOKUP($C$8,Prijzen!$B$38:$T$41,'Business case'!E31,FALSE)</f>
        <v>0.23621624314417644</v>
      </c>
      <c r="F50" s="24">
        <f>VLOOKUP($C$8,Prijzen!$B$38:$T$41,'Business case'!F31,FALSE)</f>
        <v>0.22470481824054794</v>
      </c>
      <c r="G50" s="24">
        <f>VLOOKUP($C$8,Prijzen!$B$38:$T$41,'Business case'!G31,FALSE)</f>
        <v>0.22722462021985299</v>
      </c>
      <c r="H50" s="24">
        <f>VLOOKUP($C$8,Prijzen!$B$38:$T$41,'Business case'!H31,FALSE)</f>
        <v>0.23411230073066347</v>
      </c>
      <c r="I50" s="24">
        <f>VLOOKUP($C$8,Prijzen!$B$38:$T$41,'Business case'!I31,FALSE)</f>
        <v>0.2360860841826537</v>
      </c>
      <c r="J50" s="24">
        <f>VLOOKUP($C$8,Prijzen!$B$38:$T$41,'Business case'!J31,FALSE)</f>
        <v>0.23809934330368376</v>
      </c>
      <c r="K50" s="24">
        <f>VLOOKUP($C$8,Prijzen!$B$38:$T$41,'Business case'!K31,FALSE)</f>
        <v>0.24015286760713439</v>
      </c>
      <c r="L50" s="24">
        <f>VLOOKUP($C$8,Prijzen!$B$38:$T$41,'Business case'!L31,FALSE)</f>
        <v>0.24224746239665404</v>
      </c>
      <c r="M50" s="24">
        <f>VLOOKUP($C$8,Prijzen!$B$38:$T$41,'Business case'!M31,FALSE)</f>
        <v>0.24438394908196409</v>
      </c>
      <c r="N50" s="24">
        <f>VLOOKUP($C$8,Prijzen!$B$38:$T$41,'Business case'!N31,FALSE)</f>
        <v>0.24656316550098034</v>
      </c>
      <c r="O50" s="24">
        <f>VLOOKUP($C$8,Prijzen!$B$38:$T$41,'Business case'!O31,FALSE)</f>
        <v>0.2487859662483769</v>
      </c>
      <c r="P50" s="24">
        <f>VLOOKUP($C$8,Prijzen!$B$38:$T$41,'Business case'!P31,FALSE)</f>
        <v>0.25105322301072142</v>
      </c>
      <c r="Q50" s="24">
        <f>VLOOKUP($C$8,Prijzen!$B$38:$T$41,'Business case'!Q31,FALSE)</f>
        <v>0.25336582490831283</v>
      </c>
      <c r="R50" s="24">
        <f>VLOOKUP($C$8,Prijzen!$B$38:$T$41,'Business case'!R31,FALSE)</f>
        <v>0.25572467884385602</v>
      </c>
      <c r="S50" s="24">
        <f>VLOOKUP($C$8,Prijzen!$B$38:$T$41,'Business case'!S31,FALSE)</f>
        <v>0.23411230073066347</v>
      </c>
      <c r="T50" s="24">
        <f>VLOOKUP($C$8,Prijzen!$B$38:$T$41,'Business case'!T31,FALSE)</f>
        <v>0.23411230073066347</v>
      </c>
      <c r="U50" s="24">
        <f>VLOOKUP($C$8,Prijzen!$B$38:$T$41,'Business case'!U31,FALSE)</f>
        <v>0.23411230073066347</v>
      </c>
      <c r="V50" s="24">
        <f>VLOOKUP($C$8,Prijzen!$B$38:$T$41,'Business case'!V31,FALSE)</f>
        <v>0.23411230073066347</v>
      </c>
      <c r="W50" s="24">
        <f>VLOOKUP($C$8,Prijzen!$B$38:$T$41,'Business case'!W31,FALSE)</f>
        <v>0.23411230073066347</v>
      </c>
      <c r="X50" s="24">
        <f>VLOOKUP($C$8,Prijzen!$B$38:$T$41,'Business case'!X31,FALSE)</f>
        <v>0.23411230073066347</v>
      </c>
      <c r="Y50" s="24">
        <f>VLOOKUP($C$8,Prijzen!$B$38:$T$41,'Business case'!Y31,FALSE)</f>
        <v>0.23411230073066347</v>
      </c>
      <c r="Z50" s="24">
        <f>VLOOKUP($C$8,Prijzen!$B$38:$T$41,'Business case'!Z31,FALSE)</f>
        <v>0.23411230073066347</v>
      </c>
      <c r="AA50" s="24">
        <f>VLOOKUP($C$8,Prijzen!$B$38:$T$41,'Business case'!AA31,FALSE)</f>
        <v>0.23411230073066347</v>
      </c>
      <c r="AB50" s="24">
        <f>VLOOKUP($C$8,Prijzen!$B$38:$T$41,'Business case'!AB31,FALSE)</f>
        <v>0.23411230073066347</v>
      </c>
      <c r="AC50" s="24"/>
      <c r="AD50" s="24">
        <f t="shared" si="11"/>
        <v>6.5524287577541047</v>
      </c>
    </row>
    <row r="51" spans="1:30" x14ac:dyDescent="0.25">
      <c r="A51" t="s">
        <v>76</v>
      </c>
      <c r="B51" s="28">
        <f>B50/(B49/9.5)</f>
        <v>2.3410347528157796</v>
      </c>
      <c r="C51" s="28">
        <f t="shared" ref="C51:O51" si="16">C50/(C49/9.5)</f>
        <v>2.0942577376837876</v>
      </c>
      <c r="D51" s="28">
        <f t="shared" si="16"/>
        <v>1.9249309817396774</v>
      </c>
      <c r="E51" s="28">
        <f t="shared" si="16"/>
        <v>1.8502096601323152</v>
      </c>
      <c r="F51" s="28">
        <f t="shared" si="16"/>
        <v>1.7463684310289247</v>
      </c>
      <c r="G51" s="28">
        <f t="shared" si="16"/>
        <v>1.7035545122001428</v>
      </c>
      <c r="H51" s="28">
        <f t="shared" si="16"/>
        <v>1.7119500139126518</v>
      </c>
      <c r="I51" s="28">
        <f t="shared" si="16"/>
        <v>1.7039444684039335</v>
      </c>
      <c r="J51" s="28">
        <f t="shared" si="16"/>
        <v>1.6959903977012178</v>
      </c>
      <c r="K51" s="28">
        <f t="shared" si="16"/>
        <v>1.6880888512870105</v>
      </c>
      <c r="L51" s="28">
        <f t="shared" si="16"/>
        <v>1.6802408443721761</v>
      </c>
      <c r="M51" s="28">
        <f t="shared" si="16"/>
        <v>1.6724473576075609</v>
      </c>
      <c r="N51" s="28">
        <f t="shared" si="16"/>
        <v>1.6647093368390338</v>
      </c>
      <c r="O51" s="28">
        <f t="shared" si="16"/>
        <v>1.657027692905501</v>
      </c>
      <c r="P51" s="28">
        <f>P50/(P49/9.5)</f>
        <v>1.6494033014793619</v>
      </c>
      <c r="Q51" s="28">
        <f>Q50/(Q49/9.5)</f>
        <v>1.6418370029487988</v>
      </c>
      <c r="R51" s="28">
        <f t="shared" ref="R51:AB51" si="17">R50/(R49/9.5)</f>
        <v>1.6343296023412266</v>
      </c>
      <c r="S51" s="28">
        <f t="shared" si="17"/>
        <v>1.7119500139126518</v>
      </c>
      <c r="T51" s="28">
        <f t="shared" si="17"/>
        <v>1.7119500139126518</v>
      </c>
      <c r="U51" s="28">
        <f t="shared" si="17"/>
        <v>1.7119500139126518</v>
      </c>
      <c r="V51" s="28">
        <f t="shared" si="17"/>
        <v>1.7119500139126518</v>
      </c>
      <c r="W51" s="28">
        <f t="shared" si="17"/>
        <v>1.7119500139126518</v>
      </c>
      <c r="X51" s="28">
        <f t="shared" si="17"/>
        <v>1.7119500139126518</v>
      </c>
      <c r="Y51" s="28">
        <f t="shared" si="17"/>
        <v>1.7119500139126518</v>
      </c>
      <c r="Z51" s="28">
        <f t="shared" si="17"/>
        <v>1.7119500139126518</v>
      </c>
      <c r="AA51" s="28">
        <f t="shared" si="17"/>
        <v>1.7119500139126518</v>
      </c>
      <c r="AB51" s="28">
        <f t="shared" si="17"/>
        <v>1.7119500139126518</v>
      </c>
      <c r="AC51" s="28"/>
      <c r="AD51" s="28">
        <f t="shared" si="11"/>
        <v>47.179825084525589</v>
      </c>
    </row>
    <row r="52" spans="1:30" x14ac:dyDescent="0.25">
      <c r="A52" t="s">
        <v>77</v>
      </c>
      <c r="B52" s="9">
        <f>IFERROR(B46*Prijzen!$B$83+('Business case'!B45-'Business case'!B46)*'Business case'!B49,"")</f>
        <v>0</v>
      </c>
      <c r="C52" s="9">
        <f>IFERROR(C46*Prijzen!$B$83+('Business case'!C45-'Business case'!C46)*'Business case'!C49,"")</f>
        <v>0</v>
      </c>
      <c r="D52" s="9">
        <f>IFERROR(D46*Prijzen!$B$83+('Business case'!D45-'Business case'!D46)*'Business case'!D49,"")</f>
        <v>0</v>
      </c>
      <c r="E52" s="9">
        <f>IFERROR(E46*Prijzen!$B$83+('Business case'!E45-'Business case'!E46)*'Business case'!E49,"")</f>
        <v>0</v>
      </c>
      <c r="F52" s="9">
        <f>IFERROR(F46*Prijzen!$B$83+('Business case'!F45-'Business case'!F46)*'Business case'!F49,"")</f>
        <v>0</v>
      </c>
      <c r="G52" s="9">
        <f>IFERROR(G46*Prijzen!$B$83+('Business case'!G45-'Business case'!G46)*'Business case'!G49,"")</f>
        <v>0</v>
      </c>
      <c r="H52" s="9">
        <f>IFERROR(H46*Prijzen!$B$83+('Business case'!H45-'Business case'!H46)*'Business case'!H49,"")</f>
        <v>0</v>
      </c>
      <c r="I52" s="9">
        <f>IFERROR(I46*Prijzen!$B$83+('Business case'!I45-'Business case'!I46)*'Business case'!I49,"")</f>
        <v>0</v>
      </c>
      <c r="J52" s="9">
        <f>IFERROR(J46*Prijzen!$B$83+('Business case'!J45-'Business case'!J46)*'Business case'!J49,"")</f>
        <v>0</v>
      </c>
      <c r="K52" s="9">
        <f>IFERROR(K46*Prijzen!$B$83+('Business case'!K45-'Business case'!K46)*'Business case'!K49,"")</f>
        <v>0</v>
      </c>
      <c r="L52" s="9">
        <f>IFERROR(L46*Prijzen!$B$83+('Business case'!L45-'Business case'!L46)*'Business case'!L49,"")</f>
        <v>0</v>
      </c>
      <c r="M52" s="9">
        <f>IFERROR(M46*Prijzen!$B$83+('Business case'!M45-'Business case'!M46)*'Business case'!M49,"")</f>
        <v>0</v>
      </c>
      <c r="N52" s="9">
        <f>IFERROR(N46*Prijzen!$B$83+('Business case'!N45-'Business case'!N46)*'Business case'!N49,"")</f>
        <v>0</v>
      </c>
      <c r="O52" s="9">
        <f>IFERROR(O46*Prijzen!$B$83+('Business case'!O45-'Business case'!O46)*'Business case'!O49,"")</f>
        <v>0</v>
      </c>
      <c r="P52" s="9">
        <f>IFERROR(P46*Prijzen!$B$83+('Business case'!P45-'Business case'!P46)*'Business case'!P49,"")</f>
        <v>0</v>
      </c>
      <c r="Q52" s="9">
        <f>IFERROR(Q46*Prijzen!$B$83+('Business case'!Q45-'Business case'!Q46)*'Business case'!Q49,"")</f>
        <v>0</v>
      </c>
      <c r="R52" s="9">
        <f>IFERROR(R46*Prijzen!$B$83+('Business case'!R45-'Business case'!R46)*'Business case'!R49,"")</f>
        <v>0</v>
      </c>
      <c r="S52" s="9">
        <f>IFERROR(S46*Prijzen!$B$83+('Business case'!S45-'Business case'!S46)*'Business case'!S49,"")</f>
        <v>0</v>
      </c>
      <c r="T52" s="9">
        <f>IFERROR(T46*Prijzen!$B$83+('Business case'!T45-'Business case'!T46)*'Business case'!T49,"")</f>
        <v>0</v>
      </c>
      <c r="U52" s="9">
        <f>IFERROR(U46*Prijzen!$B$83+('Business case'!U45-'Business case'!U46)*'Business case'!U49,"")</f>
        <v>0</v>
      </c>
      <c r="V52" s="9">
        <f>IFERROR(V46*Prijzen!$B$83+('Business case'!V45-'Business case'!V46)*'Business case'!V49,"")</f>
        <v>0</v>
      </c>
      <c r="W52" s="9">
        <f>IFERROR(W46*Prijzen!$B$83+('Business case'!W45-'Business case'!W46)*'Business case'!W49,"")</f>
        <v>0</v>
      </c>
      <c r="X52" s="9">
        <f>IFERROR(X46*Prijzen!$B$83+('Business case'!X45-'Business case'!X46)*'Business case'!X49,"")</f>
        <v>0</v>
      </c>
      <c r="Y52" s="9">
        <f>IFERROR(Y46*Prijzen!$B$83+('Business case'!Y45-'Business case'!Y46)*'Business case'!Y49,"")</f>
        <v>0</v>
      </c>
      <c r="Z52" s="9">
        <f>IFERROR(Z46*Prijzen!$B$83+('Business case'!Z45-'Business case'!Z46)*'Business case'!Z49,"")</f>
        <v>0</v>
      </c>
      <c r="AA52" s="9">
        <f>IFERROR(AA46*Prijzen!$B$83+('Business case'!AA45-'Business case'!AA46)*'Business case'!AA49,"")</f>
        <v>0</v>
      </c>
      <c r="AB52" s="9">
        <f>IFERROR(AB46*Prijzen!$B$83+('Business case'!AB45-'Business case'!AB46)*'Business case'!AB49,"")</f>
        <v>0</v>
      </c>
      <c r="AC52" s="9"/>
      <c r="AD52" s="9">
        <f t="shared" si="11"/>
        <v>0</v>
      </c>
    </row>
    <row r="53" spans="1:30" x14ac:dyDescent="0.25">
      <c r="A53" t="s">
        <v>78</v>
      </c>
      <c r="B53" s="9">
        <f>IFERROR(B48*Prijzen!$C$83+('Business case'!B47-'Business case'!B48)*'Business case'!B50,"")</f>
        <v>0</v>
      </c>
      <c r="C53" s="9">
        <f>IFERROR(C48*Prijzen!$C$83+('Business case'!C47-'Business case'!C48)*'Business case'!C50,"")</f>
        <v>400.61323788515745</v>
      </c>
      <c r="D53" s="9">
        <f>IFERROR(D48*Prijzen!$C$83+('Business case'!D47-'Business case'!D48)*'Business case'!D50,"")</f>
        <v>361.52407442445576</v>
      </c>
      <c r="E53" s="9">
        <f>IFERROR(E48*Prijzen!$C$83+('Business case'!E47-'Business case'!E48)*'Business case'!E50,"")</f>
        <v>343.00370126358001</v>
      </c>
      <c r="F53" s="9">
        <f>IFERROR(F48*Prijzen!$C$83+('Business case'!F47-'Business case'!F48)*'Business case'!F50,"")</f>
        <v>326.28824894664365</v>
      </c>
      <c r="G53" s="9">
        <f>IFERROR(G48*Prijzen!$C$83+('Business case'!G47-'Business case'!G48)*'Business case'!G50,"")</f>
        <v>329.94719040574302</v>
      </c>
      <c r="H53" s="9">
        <f>IFERROR(H48*Prijzen!$C$83+('Business case'!H47-'Business case'!H48)*'Business case'!H50,"")</f>
        <v>339.94861908347815</v>
      </c>
      <c r="I53" s="9">
        <f>IFERROR(I48*Prijzen!$C$83+('Business case'!I47-'Business case'!I48)*'Business case'!I50,"")</f>
        <v>342.81470068952689</v>
      </c>
      <c r="J53" s="9">
        <f>IFERROR(J48*Prijzen!$C$83+('Business case'!J47-'Business case'!J48)*'Business case'!J50,"")</f>
        <v>345.73810392769661</v>
      </c>
      <c r="K53" s="9">
        <f>IFERROR(K48*Prijzen!$C$83+('Business case'!K47-'Business case'!K48)*'Business case'!K50,"")</f>
        <v>348.7199752306297</v>
      </c>
      <c r="L53" s="9">
        <f>IFERROR(L48*Prijzen!$C$83+('Business case'!L47-'Business case'!L48)*'Business case'!L50,"")</f>
        <v>351.76148395962144</v>
      </c>
      <c r="M53" s="9">
        <f>IFERROR(M48*Prijzen!$C$83+('Business case'!M47-'Business case'!M48)*'Business case'!M50,"")</f>
        <v>354.86382286319304</v>
      </c>
      <c r="N53" s="9">
        <f>IFERROR(N48*Prijzen!$C$83+('Business case'!N47-'Business case'!N48)*'Business case'!N50,"")</f>
        <v>358.02820854483605</v>
      </c>
      <c r="O53" s="9">
        <f>IFERROR(O48*Prijzen!$C$83+('Business case'!O47-'Business case'!O48)*'Business case'!O50,"")</f>
        <v>361.25588194011192</v>
      </c>
      <c r="P53" s="9">
        <f>IFERROR(P48*Prijzen!$C$83+('Business case'!P47-'Business case'!P48)*'Business case'!P50,"")</f>
        <v>364.5481088032933</v>
      </c>
      <c r="Q53" s="9">
        <f>IFERROR(Q48*Prijzen!$C$83+('Business case'!Q47-'Business case'!Q48)*'Business case'!Q50,"")</f>
        <v>367.90618020373836</v>
      </c>
      <c r="R53" s="9">
        <f>IFERROR(R48*Prijzen!$C$83+('Business case'!R47-'Business case'!R48)*'Business case'!R50,"")</f>
        <v>0</v>
      </c>
      <c r="S53" s="9">
        <f>IFERROR(S48*Prijzen!$C$83+('Business case'!S47-'Business case'!S48)*'Business case'!S50,"")</f>
        <v>0</v>
      </c>
      <c r="T53" s="9">
        <f>IFERROR(T48*Prijzen!$C$83+('Business case'!T47-'Business case'!T48)*'Business case'!T50,"")</f>
        <v>0</v>
      </c>
      <c r="U53" s="9">
        <f>IFERROR(U48*Prijzen!$C$83+('Business case'!U47-'Business case'!U48)*'Business case'!U50,"")</f>
        <v>0</v>
      </c>
      <c r="V53" s="9">
        <f>IFERROR(V48*Prijzen!$C$83+('Business case'!V47-'Business case'!V48)*'Business case'!V50,"")</f>
        <v>0</v>
      </c>
      <c r="W53" s="9">
        <f>IFERROR(W48*Prijzen!$C$83+('Business case'!W47-'Business case'!W48)*'Business case'!W50,"")</f>
        <v>0</v>
      </c>
      <c r="X53" s="9">
        <f>IFERROR(X48*Prijzen!$C$83+('Business case'!X47-'Business case'!X48)*'Business case'!X50,"")</f>
        <v>0</v>
      </c>
      <c r="Y53" s="9">
        <f>IFERROR(Y48*Prijzen!$C$83+('Business case'!Y47-'Business case'!Y48)*'Business case'!Y50,"")</f>
        <v>0</v>
      </c>
      <c r="Z53" s="9">
        <f>IFERROR(Z48*Prijzen!$C$83+('Business case'!Z47-'Business case'!Z48)*'Business case'!Z50,"")</f>
        <v>0</v>
      </c>
      <c r="AA53" s="9">
        <f>IFERROR(AA48*Prijzen!$C$83+('Business case'!AA47-'Business case'!AA48)*'Business case'!AA50,"")</f>
        <v>0</v>
      </c>
      <c r="AB53" s="9">
        <f>IFERROR(AB48*Prijzen!$C$83+('Business case'!AB47-'Business case'!AB48)*'Business case'!AB50,"")</f>
        <v>0</v>
      </c>
      <c r="AC53" s="9"/>
      <c r="AD53" s="9">
        <f t="shared" si="11"/>
        <v>5296.9615381717049</v>
      </c>
    </row>
    <row r="54" spans="1:30" x14ac:dyDescent="0.25">
      <c r="A54" t="s">
        <v>70</v>
      </c>
      <c r="B54" s="9">
        <f>IF($C$4=100%,0,B39)</f>
        <v>0</v>
      </c>
      <c r="C54" s="9">
        <f t="shared" ref="C54:AB55" si="18">IF($C$4=100%,0,C39)</f>
        <v>0</v>
      </c>
      <c r="D54" s="9">
        <f t="shared" si="18"/>
        <v>0</v>
      </c>
      <c r="E54" s="9">
        <f t="shared" si="18"/>
        <v>0</v>
      </c>
      <c r="F54" s="9">
        <f t="shared" si="18"/>
        <v>0</v>
      </c>
      <c r="G54" s="9">
        <f t="shared" si="18"/>
        <v>0</v>
      </c>
      <c r="H54" s="9">
        <f t="shared" si="18"/>
        <v>0</v>
      </c>
      <c r="I54" s="9">
        <f t="shared" si="18"/>
        <v>0</v>
      </c>
      <c r="J54" s="9">
        <f t="shared" si="18"/>
        <v>0</v>
      </c>
      <c r="K54" s="9">
        <f t="shared" si="18"/>
        <v>0</v>
      </c>
      <c r="L54" s="9">
        <f t="shared" si="18"/>
        <v>0</v>
      </c>
      <c r="M54" s="9">
        <f t="shared" si="18"/>
        <v>0</v>
      </c>
      <c r="N54" s="9">
        <f t="shared" si="18"/>
        <v>0</v>
      </c>
      <c r="O54" s="9">
        <f t="shared" si="18"/>
        <v>0</v>
      </c>
      <c r="P54" s="9">
        <f t="shared" si="18"/>
        <v>0</v>
      </c>
      <c r="Q54" s="9">
        <f t="shared" si="18"/>
        <v>0</v>
      </c>
      <c r="R54" s="9">
        <f t="shared" si="18"/>
        <v>0</v>
      </c>
      <c r="S54" s="9">
        <f t="shared" si="18"/>
        <v>0</v>
      </c>
      <c r="T54" s="9">
        <f t="shared" si="18"/>
        <v>0</v>
      </c>
      <c r="U54" s="9">
        <f t="shared" si="18"/>
        <v>0</v>
      </c>
      <c r="V54" s="9">
        <f t="shared" si="18"/>
        <v>0</v>
      </c>
      <c r="W54" s="9">
        <f t="shared" si="18"/>
        <v>0</v>
      </c>
      <c r="X54" s="9">
        <f t="shared" si="18"/>
        <v>0</v>
      </c>
      <c r="Y54" s="9">
        <f t="shared" si="18"/>
        <v>0</v>
      </c>
      <c r="Z54" s="9">
        <f t="shared" si="18"/>
        <v>0</v>
      </c>
      <c r="AA54" s="9">
        <f t="shared" si="18"/>
        <v>0</v>
      </c>
      <c r="AB54" s="9">
        <f t="shared" si="18"/>
        <v>0</v>
      </c>
      <c r="AC54" s="9"/>
      <c r="AD54" s="9">
        <f t="shared" si="11"/>
        <v>0</v>
      </c>
    </row>
    <row r="55" spans="1:30" x14ac:dyDescent="0.25">
      <c r="A55" t="s">
        <v>21</v>
      </c>
      <c r="B55" s="9">
        <f>IF($C$4=100%,0,B40)</f>
        <v>0</v>
      </c>
      <c r="C55" s="9">
        <f t="shared" si="18"/>
        <v>0</v>
      </c>
      <c r="D55" s="9">
        <f t="shared" si="18"/>
        <v>0</v>
      </c>
      <c r="E55" s="9">
        <f t="shared" si="18"/>
        <v>0</v>
      </c>
      <c r="F55" s="9">
        <f t="shared" si="18"/>
        <v>0</v>
      </c>
      <c r="G55" s="9">
        <f t="shared" si="18"/>
        <v>0</v>
      </c>
      <c r="H55" s="9">
        <f t="shared" si="18"/>
        <v>0</v>
      </c>
      <c r="I55" s="9">
        <f t="shared" si="18"/>
        <v>0</v>
      </c>
      <c r="J55" s="9">
        <f t="shared" si="18"/>
        <v>0</v>
      </c>
      <c r="K55" s="9">
        <f t="shared" si="18"/>
        <v>0</v>
      </c>
      <c r="L55" s="9">
        <f t="shared" si="18"/>
        <v>0</v>
      </c>
      <c r="M55" s="9">
        <f t="shared" si="18"/>
        <v>0</v>
      </c>
      <c r="N55" s="9">
        <f t="shared" si="18"/>
        <v>0</v>
      </c>
      <c r="O55" s="9">
        <f t="shared" si="18"/>
        <v>0</v>
      </c>
      <c r="P55" s="9">
        <f t="shared" si="18"/>
        <v>0</v>
      </c>
      <c r="Q55" s="9">
        <f t="shared" si="18"/>
        <v>0</v>
      </c>
      <c r="R55" s="9">
        <f t="shared" si="18"/>
        <v>0</v>
      </c>
      <c r="S55" s="9">
        <f t="shared" si="18"/>
        <v>0</v>
      </c>
      <c r="T55" s="9">
        <f t="shared" si="18"/>
        <v>0</v>
      </c>
      <c r="U55" s="9">
        <f t="shared" si="18"/>
        <v>0</v>
      </c>
      <c r="V55" s="9">
        <f t="shared" si="18"/>
        <v>0</v>
      </c>
      <c r="W55" s="9">
        <f t="shared" si="18"/>
        <v>0</v>
      </c>
      <c r="X55" s="9">
        <f t="shared" si="18"/>
        <v>0</v>
      </c>
      <c r="Y55" s="9">
        <f t="shared" si="18"/>
        <v>0</v>
      </c>
      <c r="Z55" s="9">
        <f t="shared" si="18"/>
        <v>0</v>
      </c>
      <c r="AA55" s="9">
        <f t="shared" si="18"/>
        <v>0</v>
      </c>
      <c r="AB55" s="9">
        <f t="shared" si="18"/>
        <v>0</v>
      </c>
      <c r="AC55" s="9"/>
      <c r="AD55" s="9">
        <f t="shared" si="11"/>
        <v>0</v>
      </c>
    </row>
    <row r="56" spans="1:30" x14ac:dyDescent="0.25">
      <c r="A56" t="s">
        <v>71</v>
      </c>
      <c r="B56" s="9">
        <f>IF(B33="JA",IF($C$4="100"%,0,Prijzen!D78),0)</f>
        <v>0</v>
      </c>
      <c r="C56" s="9">
        <f>IF(C33="JA",IF($C$4="100"%,0,Prijzen!E78),0)</f>
        <v>0</v>
      </c>
      <c r="D56" s="9">
        <f>IF(D33="JA",IF($C$4="100"%,0,Prijzen!F78),0)</f>
        <v>0</v>
      </c>
      <c r="E56" s="9">
        <f>IF(E33="JA",IF($C$4="100"%,0,Prijzen!G78),0)</f>
        <v>0</v>
      </c>
      <c r="F56" s="9">
        <f>IF(F33="JA",IF($C$4="100"%,0,Prijzen!H78),0)</f>
        <v>0</v>
      </c>
      <c r="G56" s="9">
        <f>IF(G33="JA",IF($C$4="100"%,0,Prijzen!I78),0)</f>
        <v>0</v>
      </c>
      <c r="H56" s="9">
        <f>IF(H33="JA",IF($C$4="100"%,0,Prijzen!J78),0)</f>
        <v>0</v>
      </c>
      <c r="I56" s="9">
        <f>IF(I33="JA",IF($C$4="100"%,0,Prijzen!K78),0)</f>
        <v>0</v>
      </c>
      <c r="J56" s="9">
        <f>IF(J33="JA",IF($C$4="100"%,0,Prijzen!L78),0)</f>
        <v>0</v>
      </c>
      <c r="K56" s="9">
        <f>IF(K33="JA",IF($C$4="100"%,0,Prijzen!M78),0)</f>
        <v>0</v>
      </c>
      <c r="L56" s="9">
        <f>IF(L33="JA",IF($C$4="100"%,0,Prijzen!N78),0)</f>
        <v>0</v>
      </c>
      <c r="M56" s="9">
        <f>IF(M33="JA",IF($C$4="100"%,0,Prijzen!O78),0)</f>
        <v>0</v>
      </c>
      <c r="N56" s="9">
        <f>IF(N33="JA",IF($C$4="100"%,0,Prijzen!P78),0)</f>
        <v>0</v>
      </c>
      <c r="O56" s="9">
        <f>IF(O33="JA",IF($C$4="100"%,0,Prijzen!Q78),0)</f>
        <v>0</v>
      </c>
      <c r="P56" s="9">
        <f>IF(P33="JA",IF($C$4="100"%,0,Prijzen!R78),0)</f>
        <v>0</v>
      </c>
      <c r="Q56" s="9">
        <f>IF(Q33="JA",IF($C$4="100"%,0,Prijzen!S78),0)</f>
        <v>0</v>
      </c>
      <c r="R56" s="9">
        <f>IF(R33="JA",IF($C$4="100"%,0,Prijzen!$T$78),0)</f>
        <v>0</v>
      </c>
      <c r="S56" s="9">
        <f>IF(S33="JA",IF($C$4="100"%,0,Prijzen!$T$78),0)</f>
        <v>0</v>
      </c>
      <c r="T56" s="9">
        <f>IF(T33="JA",IF($C$4="100"%,0,Prijzen!$T$78),0)</f>
        <v>0</v>
      </c>
      <c r="U56" s="9">
        <f>IF(U33="JA",IF($C$4="100"%,0,Prijzen!$T$78),0)</f>
        <v>0</v>
      </c>
      <c r="V56" s="9">
        <f>IF(V33="JA",IF($C$4="100"%,0,Prijzen!$T$78),0)</f>
        <v>0</v>
      </c>
      <c r="W56" s="9">
        <f>IF(W33="JA",IF($C$4="100"%,0,Prijzen!$T$78),0)</f>
        <v>0</v>
      </c>
      <c r="X56" s="9">
        <f>IF(X33="JA",IF($C$4="100"%,0,Prijzen!$T$78),0)</f>
        <v>0</v>
      </c>
      <c r="Y56" s="9">
        <f>IF(Y33="JA",IF($C$4="100"%,0,Prijzen!$T$78),0)</f>
        <v>0</v>
      </c>
      <c r="Z56" s="9">
        <f>IF(Z33="JA",IF($C$4="100"%,0,Prijzen!$T$78),0)</f>
        <v>0</v>
      </c>
      <c r="AA56" s="9">
        <f>IF(AA33="JA",IF($C$4="100"%,0,Prijzen!$T$78),0)</f>
        <v>0</v>
      </c>
      <c r="AB56" s="9">
        <f>IF(AB33="JA",IF($C$4="100"%,0,Prijzen!AC78),0)</f>
        <v>0</v>
      </c>
      <c r="AC56" s="9"/>
      <c r="AD56" s="9">
        <f t="shared" si="11"/>
        <v>0</v>
      </c>
    </row>
    <row r="57" spans="1:30" x14ac:dyDescent="0.25">
      <c r="A57" t="s">
        <v>79</v>
      </c>
      <c r="B57" s="9">
        <f>IF(B$33="JA",-PMT($C$17,15,$C$15,0,1),0)</f>
        <v>0</v>
      </c>
      <c r="C57" s="9">
        <f>IF(C$33="JA",-PMT($C$17,15,$C$15,0,1),0)</f>
        <v>1365.6732228630449</v>
      </c>
      <c r="D57" s="9">
        <f t="shared" ref="D57:AB57" si="19">IF(D$33="JA",-PMT($C$17,15,$C$15,0,1),0)</f>
        <v>1365.6732228630449</v>
      </c>
      <c r="E57" s="9">
        <f t="shared" si="19"/>
        <v>1365.6732228630449</v>
      </c>
      <c r="F57" s="9">
        <f t="shared" si="19"/>
        <v>1365.6732228630449</v>
      </c>
      <c r="G57" s="9">
        <f t="shared" si="19"/>
        <v>1365.6732228630449</v>
      </c>
      <c r="H57" s="9">
        <f t="shared" si="19"/>
        <v>1365.6732228630449</v>
      </c>
      <c r="I57" s="9">
        <f t="shared" si="19"/>
        <v>1365.6732228630449</v>
      </c>
      <c r="J57" s="9">
        <f t="shared" si="19"/>
        <v>1365.6732228630449</v>
      </c>
      <c r="K57" s="9">
        <f t="shared" si="19"/>
        <v>1365.6732228630449</v>
      </c>
      <c r="L57" s="9">
        <f t="shared" si="19"/>
        <v>1365.6732228630449</v>
      </c>
      <c r="M57" s="9">
        <f t="shared" si="19"/>
        <v>1365.6732228630449</v>
      </c>
      <c r="N57" s="9">
        <f t="shared" si="19"/>
        <v>1365.6732228630449</v>
      </c>
      <c r="O57" s="9">
        <f t="shared" si="19"/>
        <v>1365.6732228630449</v>
      </c>
      <c r="P57" s="9">
        <f t="shared" si="19"/>
        <v>1365.6732228630449</v>
      </c>
      <c r="Q57" s="9">
        <f t="shared" si="19"/>
        <v>1365.6732228630449</v>
      </c>
      <c r="R57" s="9">
        <f t="shared" si="19"/>
        <v>0</v>
      </c>
      <c r="S57" s="9">
        <f t="shared" si="19"/>
        <v>0</v>
      </c>
      <c r="T57" s="9">
        <f t="shared" si="19"/>
        <v>0</v>
      </c>
      <c r="U57" s="9">
        <f t="shared" si="19"/>
        <v>0</v>
      </c>
      <c r="V57" s="9">
        <f t="shared" si="19"/>
        <v>0</v>
      </c>
      <c r="W57" s="9">
        <f t="shared" si="19"/>
        <v>0</v>
      </c>
      <c r="X57" s="9">
        <f t="shared" si="19"/>
        <v>0</v>
      </c>
      <c r="Y57" s="9">
        <f t="shared" si="19"/>
        <v>0</v>
      </c>
      <c r="Z57" s="9">
        <f t="shared" si="19"/>
        <v>0</v>
      </c>
      <c r="AA57" s="9">
        <f t="shared" si="19"/>
        <v>0</v>
      </c>
      <c r="AB57" s="9">
        <f t="shared" si="19"/>
        <v>0</v>
      </c>
      <c r="AC57" s="9"/>
      <c r="AD57" s="9">
        <f t="shared" si="11"/>
        <v>20485.098342945676</v>
      </c>
    </row>
    <row r="58" spans="1:30" x14ac:dyDescent="0.25">
      <c r="A58" t="s">
        <v>27</v>
      </c>
      <c r="B58" s="9">
        <f>IF(B33="JA",Kengetallen!$B$62*(1+Kengetallen!$B$2)^'Business case'!B$32,0)</f>
        <v>0</v>
      </c>
      <c r="C58" s="9">
        <f>IF(C33="JA",Kengetallen!$B$62*(1+Kengetallen!$B$2)^'Business case'!C$32,0)</f>
        <v>153</v>
      </c>
      <c r="D58" s="9">
        <f>IF(D33="JA",Kengetallen!$B$62*(1+Kengetallen!$B$2)^'Business case'!D$32,0)</f>
        <v>156.06</v>
      </c>
      <c r="E58" s="9">
        <f>IF(E33="JA",Kengetallen!$B$62*(1+Kengetallen!$B$2)^'Business case'!E$32,0)</f>
        <v>159.18119999999999</v>
      </c>
      <c r="F58" s="9">
        <f>IF(F33="JA",Kengetallen!$B$62*(1+Kengetallen!$B$2)^'Business case'!F$32,0)</f>
        <v>162.364824</v>
      </c>
      <c r="G58" s="9">
        <f>IF(G33="JA",Kengetallen!$B$62*(1+Kengetallen!$B$2)^'Business case'!G$32,0)</f>
        <v>165.61212048000002</v>
      </c>
      <c r="H58" s="9">
        <f>IF(H33="JA",Kengetallen!$B$62*(1+Kengetallen!$B$2)^'Business case'!H$32,0)</f>
        <v>168.92436288960002</v>
      </c>
      <c r="I58" s="9">
        <f>IF(I33="JA",Kengetallen!$B$62*(1+Kengetallen!$B$2)^'Business case'!I$32,0)</f>
        <v>172.30285014739198</v>
      </c>
      <c r="J58" s="9">
        <f>IF(J33="JA",Kengetallen!$B$62*(1+Kengetallen!$B$2)^'Business case'!J$32,0)</f>
        <v>175.74890715033982</v>
      </c>
      <c r="K58" s="9">
        <f>IF(K33="JA",Kengetallen!$B$62*(1+Kengetallen!$B$2)^'Business case'!K$32,0)</f>
        <v>179.26388529334662</v>
      </c>
      <c r="L58" s="9">
        <f>IF(L33="JA",Kengetallen!$B$62*(1+Kengetallen!$B$2)^'Business case'!L$32,0)</f>
        <v>182.84916299921358</v>
      </c>
      <c r="M58" s="9">
        <f>IF(M33="JA",Kengetallen!$B$62*(1+Kengetallen!$B$2)^'Business case'!M$32,0)</f>
        <v>186.50614625919781</v>
      </c>
      <c r="N58" s="9">
        <f>IF(N33="JA",Kengetallen!$B$62*(1+Kengetallen!$B$2)^'Business case'!N$32,0)</f>
        <v>190.2362691843818</v>
      </c>
      <c r="O58" s="9">
        <f>IF(O33="JA",Kengetallen!$B$62*(1+Kengetallen!$B$2)^'Business case'!O$32,0)</f>
        <v>194.04099456806941</v>
      </c>
      <c r="P58" s="9">
        <f>IF(P33="JA",Kengetallen!$B$62*(1+Kengetallen!$B$2)^'Business case'!P$32,0)</f>
        <v>197.92181445943083</v>
      </c>
      <c r="Q58" s="9">
        <f>IF(Q33="JA",Kengetallen!$B$62*(1+Kengetallen!$B$2)^'Business case'!Q$32,0)</f>
        <v>201.88025074861937</v>
      </c>
      <c r="R58" s="9">
        <f>IF(R33="JA",Kengetallen!$B$62*(1+Kengetallen!$B$2)^'Business case'!R$32,0)</f>
        <v>0</v>
      </c>
      <c r="S58" s="9">
        <f>IF(S33="JA",Kengetallen!$B$62*(1+Kengetallen!$B$2)^'Business case'!S$32,0)</f>
        <v>0</v>
      </c>
      <c r="T58" s="9">
        <f>IF(T33="JA",Kengetallen!$B$62*(1+Kengetallen!$B$2)^'Business case'!T$32,0)</f>
        <v>0</v>
      </c>
      <c r="U58" s="9">
        <f>IF(U33="JA",Kengetallen!$B$62*(1+Kengetallen!$B$2)^'Business case'!U$32,0)</f>
        <v>0</v>
      </c>
      <c r="V58" s="9">
        <f>IF(V33="JA",Kengetallen!$B$62*(1+Kengetallen!$B$2)^'Business case'!V$32,0)</f>
        <v>0</v>
      </c>
      <c r="W58" s="9">
        <f>IF(W33="JA",Kengetallen!$B$62*(1+Kengetallen!$B$2)^'Business case'!W$32,0)</f>
        <v>0</v>
      </c>
      <c r="X58" s="9">
        <f>IF(X33="JA",Kengetallen!$B$62*(1+Kengetallen!$B$2)^'Business case'!X$32,0)</f>
        <v>0</v>
      </c>
      <c r="Y58" s="9">
        <f>IF(Y33="JA",Kengetallen!$B$62*(1+Kengetallen!$B$2)^'Business case'!Y$32,0)</f>
        <v>0</v>
      </c>
      <c r="Z58" s="9">
        <f>IF(Z33="JA",Kengetallen!$B$62*(1+Kengetallen!$B$2)^'Business case'!Z$32,0)</f>
        <v>0</v>
      </c>
      <c r="AA58" s="9">
        <f>IF(AA33="JA",Kengetallen!$B$62*(1+Kengetallen!$B$2)^'Business case'!AA$32,0)</f>
        <v>0</v>
      </c>
      <c r="AB58" s="9">
        <f>IF(AB33="JA",Kengetallen!$B$62*(1+Kengetallen!$B$2)^'Business case'!AB$32,0)</f>
        <v>0</v>
      </c>
      <c r="AC58" s="9"/>
      <c r="AD58" s="9">
        <f t="shared" si="11"/>
        <v>2645.8927881795912</v>
      </c>
    </row>
    <row r="59" spans="1:30" x14ac:dyDescent="0.25">
      <c r="A59" t="s">
        <v>80</v>
      </c>
      <c r="B59" s="25">
        <f>IF(B33="JA",($C$19+$C$7)*(1+Kengetallen!$B$19)^B32,0)</f>
        <v>0</v>
      </c>
      <c r="C59" s="25">
        <f>IF(C33="JA",($C$19+$C$7)*(1+Kengetallen!$B$19)^C32,0)</f>
        <v>1441.9104750000001</v>
      </c>
      <c r="D59" s="25">
        <f>IF(D33="JA",($C$19+$C$7)*(1+Kengetallen!$B$19)^D32,0)</f>
        <v>1431.817101675</v>
      </c>
      <c r="E59" s="25">
        <f>IF(E33="JA",($C$19+$C$7)*(1+Kengetallen!$B$19)^E32,0)</f>
        <v>1421.7943819632749</v>
      </c>
      <c r="F59" s="25">
        <f>IF(F33="JA",($C$19+$C$7)*(1+Kengetallen!$B$19)^F32,0)</f>
        <v>1411.8418212895319</v>
      </c>
      <c r="G59" s="25">
        <f>IF(G33="JA",($C$19+$C$7)*(1+Kengetallen!$B$19)^G32,0)</f>
        <v>1401.9589285405052</v>
      </c>
      <c r="H59" s="25">
        <f>IF(H33="JA",($C$19+$C$7)*(1+Kengetallen!$B$19)^H32,0)</f>
        <v>1392.1452160407216</v>
      </c>
      <c r="I59" s="25">
        <f>IF(I33="JA",($C$19+$C$7)*(1+Kengetallen!$B$19)^I32,0)</f>
        <v>1382.4001995284366</v>
      </c>
      <c r="J59" s="25">
        <f>IF(J33="JA",($C$19+$C$7)*(1+Kengetallen!$B$19)^J32,0)</f>
        <v>1372.7233981317374</v>
      </c>
      <c r="K59" s="25">
        <f>IF(K33="JA",($C$19+$C$7)*(1+Kengetallen!$B$19)^K32,0)</f>
        <v>1363.1143343448152</v>
      </c>
      <c r="L59" s="25">
        <f>IF(L33="JA",($C$19+$C$7)*(1+Kengetallen!$B$19)^L32,0)</f>
        <v>1353.5725340044016</v>
      </c>
      <c r="M59" s="25">
        <f>IF(M33="JA",($C$19+$C$7)*(1+Kengetallen!$B$19)^M32,0)</f>
        <v>1344.0975262663706</v>
      </c>
      <c r="N59" s="25">
        <f>IF(N33="JA",($C$19+$C$7)*(1+Kengetallen!$B$19)^N32,0)</f>
        <v>1334.688843582506</v>
      </c>
      <c r="O59" s="25">
        <f>IF(O33="JA",($C$19+$C$7)*(1+Kengetallen!$B$19)^O32,0)</f>
        <v>1325.3460216774286</v>
      </c>
      <c r="P59" s="25">
        <f>IF(P33="JA",($C$19+$C$7)*(1+Kengetallen!$B$19)^P32,0)</f>
        <v>1316.0685995256865</v>
      </c>
      <c r="Q59" s="25">
        <f>IF(Q33="JA",($C$19+$C$7)*(1+Kengetallen!$B$19)^Q32,0)</f>
        <v>1306.8561193290066</v>
      </c>
      <c r="R59" s="25">
        <f>IF(R33="JA",($C$19+$C$7)*(1+Kengetallen!$B$19)^R32,0)</f>
        <v>0</v>
      </c>
      <c r="S59" s="25">
        <f>IF(S33="JA",($C$19+$C$7)*(1+Kengetallen!$B$19)^S32,0)</f>
        <v>0</v>
      </c>
      <c r="T59" s="25">
        <f>IF(T33="JA",($C$19+$C$7)*(1+Kengetallen!$B$19)^T32,0)</f>
        <v>0</v>
      </c>
      <c r="U59" s="25">
        <f>IF(U33="JA",($C$19+$C$7)*(1+Kengetallen!$B$19)^U32,0)</f>
        <v>0</v>
      </c>
      <c r="V59" s="25">
        <f>IF(V33="JA",($C$19+$C$7)*(1+Kengetallen!$B$19)^V32,0)</f>
        <v>0</v>
      </c>
      <c r="W59" s="25">
        <f>IF(W33="JA",($C$19+$C$7)*(1+Kengetallen!$B$19)^W32,0)</f>
        <v>0</v>
      </c>
      <c r="X59" s="25">
        <f>IF(X33="JA",($C$19+$C$7)*(1+Kengetallen!$B$19)^X32,0)</f>
        <v>0</v>
      </c>
      <c r="Y59" s="25">
        <f>IF(Y33="JA",($C$19+$C$7)*(1+Kengetallen!$B$19)^Y32,0)</f>
        <v>0</v>
      </c>
      <c r="Z59" s="25">
        <f>IF(Z33="JA",($C$19+$C$7)*(1+Kengetallen!$B$19)^Z32,0)</f>
        <v>0</v>
      </c>
      <c r="AA59" s="25">
        <f>IF(AA33="JA",($C$19+$C$7)*(1+Kengetallen!$B$19)^AA32,0)</f>
        <v>0</v>
      </c>
      <c r="AB59" s="25">
        <f>IF(AB33="JA",($C$19+$C$7)*(1+Kengetallen!$B$19)^AB32,0)</f>
        <v>0</v>
      </c>
      <c r="AC59" s="25"/>
      <c r="AD59" s="25">
        <f t="shared" si="11"/>
        <v>20600.335500899422</v>
      </c>
    </row>
    <row r="60" spans="1:30" x14ac:dyDescent="0.25">
      <c r="A60" t="s">
        <v>81</v>
      </c>
      <c r="B60" s="25">
        <f>IF(B33="JA",B59*$C$16,0)</f>
        <v>0</v>
      </c>
      <c r="C60" s="25">
        <f>IF(C33="JA",C59*$C$16,0)</f>
        <v>576.7641900000001</v>
      </c>
      <c r="D60" s="25">
        <f t="shared" ref="D60:AB60" si="20">IF(D33="JA",D59*$C$16,0)</f>
        <v>572.72684067</v>
      </c>
      <c r="E60" s="25">
        <f t="shared" si="20"/>
        <v>568.71775278530993</v>
      </c>
      <c r="F60" s="25">
        <f t="shared" si="20"/>
        <v>564.73672851581284</v>
      </c>
      <c r="G60" s="25">
        <f t="shared" si="20"/>
        <v>560.78357141620211</v>
      </c>
      <c r="H60" s="25">
        <f t="shared" si="20"/>
        <v>556.85808641628864</v>
      </c>
      <c r="I60" s="25">
        <f t="shared" si="20"/>
        <v>552.96007981137461</v>
      </c>
      <c r="J60" s="25">
        <f t="shared" si="20"/>
        <v>549.08935925269498</v>
      </c>
      <c r="K60" s="25">
        <f t="shared" si="20"/>
        <v>545.24573373792612</v>
      </c>
      <c r="L60" s="25">
        <f t="shared" si="20"/>
        <v>541.42901360176063</v>
      </c>
      <c r="M60" s="25">
        <f t="shared" si="20"/>
        <v>537.63901050654829</v>
      </c>
      <c r="N60" s="25">
        <f t="shared" si="20"/>
        <v>533.87553743300248</v>
      </c>
      <c r="O60" s="25">
        <f t="shared" si="20"/>
        <v>530.13840867097144</v>
      </c>
      <c r="P60" s="25">
        <f t="shared" si="20"/>
        <v>526.42743981027468</v>
      </c>
      <c r="Q60" s="25">
        <f t="shared" si="20"/>
        <v>522.74244773160262</v>
      </c>
      <c r="R60" s="25">
        <f t="shared" si="20"/>
        <v>0</v>
      </c>
      <c r="S60" s="25">
        <f t="shared" si="20"/>
        <v>0</v>
      </c>
      <c r="T60" s="25">
        <f t="shared" si="20"/>
        <v>0</v>
      </c>
      <c r="U60" s="25">
        <f t="shared" si="20"/>
        <v>0</v>
      </c>
      <c r="V60" s="25">
        <f t="shared" si="20"/>
        <v>0</v>
      </c>
      <c r="W60" s="25">
        <f t="shared" si="20"/>
        <v>0</v>
      </c>
      <c r="X60" s="25">
        <f t="shared" si="20"/>
        <v>0</v>
      </c>
      <c r="Y60" s="25">
        <f t="shared" si="20"/>
        <v>0</v>
      </c>
      <c r="Z60" s="25">
        <f t="shared" si="20"/>
        <v>0</v>
      </c>
      <c r="AA60" s="25">
        <f t="shared" si="20"/>
        <v>0</v>
      </c>
      <c r="AB60" s="25">
        <f t="shared" si="20"/>
        <v>0</v>
      </c>
      <c r="AC60" s="25"/>
      <c r="AD60" s="25">
        <f t="shared" si="11"/>
        <v>8240.1342003597692</v>
      </c>
    </row>
    <row r="61" spans="1:30" x14ac:dyDescent="0.25">
      <c r="A61" t="s">
        <v>82</v>
      </c>
      <c r="B61" s="25">
        <f>IF(B33="JA",($C$2+B47-B60)*Prijzen!D62,0)</f>
        <v>0</v>
      </c>
      <c r="C61" s="25">
        <f>IF(C33="JA",($C$2+C47-C60)*Prijzen!E62,0)</f>
        <v>2800.1989183999999</v>
      </c>
      <c r="D61" s="25">
        <f>IF(D33="JA",($C$2+D47-D60)*Prijzen!F62,0)</f>
        <v>2802.7828219712001</v>
      </c>
      <c r="E61" s="25">
        <f>IF(E33="JA",($C$2+E47-E60)*Prijzen!G62,0)</f>
        <v>2410.8464859680794</v>
      </c>
      <c r="F61" s="25">
        <f>IF(F33="JA",($C$2+F47-F60)*Prijzen!H62,0)</f>
        <v>2018.1756048827262</v>
      </c>
      <c r="G61" s="25">
        <f>IF(G33="JA",($C$2+G47-G60)*Prijzen!I62,0)</f>
        <v>1624.7778285760053</v>
      </c>
      <c r="H61" s="25">
        <f>IF(H33="JA",($C$2+H47-H60)*Prijzen!J62,0)</f>
        <v>1230.6607358034391</v>
      </c>
      <c r="I61" s="25">
        <f>IF(I33="JA",($C$2+I47-I60)*Prijzen!K62,0)</f>
        <v>0</v>
      </c>
      <c r="J61" s="25">
        <f>IF(J33="JA",($C$2+J47-J60)*Prijzen!L62,0)</f>
        <v>0</v>
      </c>
      <c r="K61" s="25">
        <f>IF(K33="JA",($C$2+K47-K60)*Prijzen!M62,0)</f>
        <v>0</v>
      </c>
      <c r="L61" s="25">
        <f>IF(L33="JA",($C$2+L47-L60)*Prijzen!N62,0)</f>
        <v>0</v>
      </c>
      <c r="M61" s="25">
        <f>IF(M33="JA",($C$2+M47-M60)*Prijzen!O62,0)</f>
        <v>0</v>
      </c>
      <c r="N61" s="25">
        <f>IF(N33="JA",($C$2+N47-N60)*Prijzen!P62,0)</f>
        <v>0</v>
      </c>
      <c r="O61" s="25">
        <f>IF(O33="JA",($C$2+O47-O60)*Prijzen!Q62,0)</f>
        <v>0</v>
      </c>
      <c r="P61" s="25">
        <f>IF(P33="JA",($C$2+P47-P60)*Prijzen!R62,0)</f>
        <v>0</v>
      </c>
      <c r="Q61" s="25">
        <f>IF(Q33="JA",($C$2+Q47-Q60)*Prijzen!S62,0)</f>
        <v>0</v>
      </c>
      <c r="R61" s="25">
        <f>IF(R33="JA",($C$2+R47-R60)*Prijzen!T62,0)</f>
        <v>0</v>
      </c>
      <c r="S61" s="25">
        <f>IF(S33="JA",($C$2+S47-S60)*Prijzen!U62,0)</f>
        <v>0</v>
      </c>
      <c r="T61" s="25">
        <f>IF(T33="JA",($C$2+T47-T60)*Prijzen!V62,0)</f>
        <v>0</v>
      </c>
      <c r="U61" s="25">
        <f>IF(U33="JA",($C$2+U47-U60)*Prijzen!W62,0)</f>
        <v>0</v>
      </c>
      <c r="V61" s="25">
        <f>IF(V33="JA",($C$2+V47-V60)*Prijzen!X62,0)</f>
        <v>0</v>
      </c>
      <c r="W61" s="25">
        <f>IF(W33="JA",($C$2+W47-W60)*Prijzen!Y62,0)</f>
        <v>0</v>
      </c>
      <c r="X61" s="25">
        <f>IF(X33="JA",($C$2+X47-X60)*Prijzen!Z62,0)</f>
        <v>0</v>
      </c>
      <c r="Y61" s="25">
        <f>IF(Y33="JA",($C$2+Y47-Y60)*Prijzen!AA62,0)</f>
        <v>0</v>
      </c>
      <c r="Z61" s="25">
        <f>IF(Z33="JA",($C$2+Z47-Z60)*Prijzen!AB62,0)</f>
        <v>0</v>
      </c>
      <c r="AA61" s="25">
        <f>IF(AA33="JA",($C$2+AA47-AA60)*Prijzen!AC62,0)</f>
        <v>0</v>
      </c>
      <c r="AB61" s="25">
        <f>IF(AB33="JA",($C$2+AB47-AB60)*Prijzen!AD62,0)</f>
        <v>0</v>
      </c>
      <c r="AC61" s="25"/>
      <c r="AD61" s="25">
        <f t="shared" si="11"/>
        <v>12887.442395601451</v>
      </c>
    </row>
    <row r="62" spans="1:30" x14ac:dyDescent="0.25">
      <c r="A62" t="s">
        <v>83</v>
      </c>
      <c r="B62" s="25">
        <f>IF(B33="JA",MIN((B59-B60),B61),0)</f>
        <v>0</v>
      </c>
      <c r="C62" s="25">
        <f>IF(C33="JA",MIN((C59-C60),C61),0)</f>
        <v>865.14628500000003</v>
      </c>
      <c r="D62" s="25">
        <f t="shared" ref="D62:AB62" si="21">IF(D33="JA",MIN((D59-D60),D61),0)</f>
        <v>859.090261005</v>
      </c>
      <c r="E62" s="25">
        <f t="shared" si="21"/>
        <v>853.07662917796495</v>
      </c>
      <c r="F62" s="25">
        <f t="shared" si="21"/>
        <v>847.10509277371909</v>
      </c>
      <c r="G62" s="25">
        <f t="shared" si="21"/>
        <v>841.1753571243031</v>
      </c>
      <c r="H62" s="25">
        <f t="shared" si="21"/>
        <v>835.28712962443296</v>
      </c>
      <c r="I62" s="25">
        <f t="shared" si="21"/>
        <v>0</v>
      </c>
      <c r="J62" s="25">
        <f t="shared" si="21"/>
        <v>0</v>
      </c>
      <c r="K62" s="25">
        <f t="shared" si="21"/>
        <v>0</v>
      </c>
      <c r="L62" s="25">
        <f t="shared" si="21"/>
        <v>0</v>
      </c>
      <c r="M62" s="25">
        <f t="shared" si="21"/>
        <v>0</v>
      </c>
      <c r="N62" s="25">
        <f t="shared" si="21"/>
        <v>0</v>
      </c>
      <c r="O62" s="25">
        <f t="shared" si="21"/>
        <v>0</v>
      </c>
      <c r="P62" s="25">
        <f t="shared" si="21"/>
        <v>0</v>
      </c>
      <c r="Q62" s="25">
        <f t="shared" si="21"/>
        <v>0</v>
      </c>
      <c r="R62" s="25">
        <f t="shared" si="21"/>
        <v>0</v>
      </c>
      <c r="S62" s="25">
        <f t="shared" si="21"/>
        <v>0</v>
      </c>
      <c r="T62" s="25">
        <f t="shared" si="21"/>
        <v>0</v>
      </c>
      <c r="U62" s="25">
        <f t="shared" si="21"/>
        <v>0</v>
      </c>
      <c r="V62" s="25">
        <f t="shared" si="21"/>
        <v>0</v>
      </c>
      <c r="W62" s="25">
        <f t="shared" si="21"/>
        <v>0</v>
      </c>
      <c r="X62" s="25">
        <f t="shared" si="21"/>
        <v>0</v>
      </c>
      <c r="Y62" s="25">
        <f t="shared" si="21"/>
        <v>0</v>
      </c>
      <c r="Z62" s="25">
        <f t="shared" si="21"/>
        <v>0</v>
      </c>
      <c r="AA62" s="25">
        <f t="shared" si="21"/>
        <v>0</v>
      </c>
      <c r="AB62" s="25">
        <f t="shared" si="21"/>
        <v>0</v>
      </c>
      <c r="AC62" s="25"/>
      <c r="AD62" s="25">
        <f t="shared" si="11"/>
        <v>5100.8807547054203</v>
      </c>
    </row>
    <row r="63" spans="1:30" x14ac:dyDescent="0.25">
      <c r="A63" t="s">
        <v>84</v>
      </c>
      <c r="B63" s="25">
        <f t="shared" ref="B63:AB63" si="22">IF(B33="JA",B59-B60-B62,0)</f>
        <v>0</v>
      </c>
      <c r="C63" s="25">
        <f t="shared" si="22"/>
        <v>0</v>
      </c>
      <c r="D63" s="25">
        <f t="shared" si="22"/>
        <v>0</v>
      </c>
      <c r="E63" s="25">
        <f t="shared" si="22"/>
        <v>0</v>
      </c>
      <c r="F63" s="25">
        <f t="shared" si="22"/>
        <v>0</v>
      </c>
      <c r="G63" s="25">
        <f t="shared" si="22"/>
        <v>0</v>
      </c>
      <c r="H63" s="25">
        <f t="shared" si="22"/>
        <v>0</v>
      </c>
      <c r="I63" s="25">
        <f t="shared" si="22"/>
        <v>829.44011971706198</v>
      </c>
      <c r="J63" s="25">
        <f t="shared" si="22"/>
        <v>823.63403887904246</v>
      </c>
      <c r="K63" s="25">
        <f t="shared" si="22"/>
        <v>817.86860060688912</v>
      </c>
      <c r="L63" s="25">
        <f t="shared" si="22"/>
        <v>812.143520402641</v>
      </c>
      <c r="M63" s="25">
        <f t="shared" si="22"/>
        <v>806.45851575982226</v>
      </c>
      <c r="N63" s="25">
        <f t="shared" si="22"/>
        <v>800.81330614950355</v>
      </c>
      <c r="O63" s="25">
        <f t="shared" si="22"/>
        <v>795.20761300645711</v>
      </c>
      <c r="P63" s="25">
        <f t="shared" si="22"/>
        <v>789.64115971541185</v>
      </c>
      <c r="Q63" s="25">
        <f t="shared" si="22"/>
        <v>784.11367159740394</v>
      </c>
      <c r="R63" s="25">
        <f t="shared" si="22"/>
        <v>0</v>
      </c>
      <c r="S63" s="25">
        <f t="shared" si="22"/>
        <v>0</v>
      </c>
      <c r="T63" s="25">
        <f t="shared" si="22"/>
        <v>0</v>
      </c>
      <c r="U63" s="25">
        <f t="shared" si="22"/>
        <v>0</v>
      </c>
      <c r="V63" s="25">
        <f t="shared" si="22"/>
        <v>0</v>
      </c>
      <c r="W63" s="25">
        <f t="shared" si="22"/>
        <v>0</v>
      </c>
      <c r="X63" s="25">
        <f t="shared" si="22"/>
        <v>0</v>
      </c>
      <c r="Y63" s="25">
        <f t="shared" si="22"/>
        <v>0</v>
      </c>
      <c r="Z63" s="25">
        <f t="shared" si="22"/>
        <v>0</v>
      </c>
      <c r="AA63" s="25">
        <f t="shared" si="22"/>
        <v>0</v>
      </c>
      <c r="AB63" s="25">
        <f t="shared" si="22"/>
        <v>0</v>
      </c>
      <c r="AC63" s="25"/>
      <c r="AD63" s="25">
        <f t="shared" si="11"/>
        <v>7259.3205458342327</v>
      </c>
    </row>
    <row r="64" spans="1:30" x14ac:dyDescent="0.25">
      <c r="A64" t="s">
        <v>85</v>
      </c>
      <c r="B64" s="29">
        <f>IF(B33="JA",B65/B59,0)</f>
        <v>0</v>
      </c>
      <c r="C64" s="29">
        <f>IF(C33="JA",C65/C59,0)</f>
        <v>0.275890183279209</v>
      </c>
      <c r="D64" s="29">
        <f t="shared" ref="D64:AB64" si="23">IF(D33="JA",D65/D59,0)</f>
        <v>0.24897066227602277</v>
      </c>
      <c r="E64" s="29">
        <f t="shared" si="23"/>
        <v>0.23621624314417644</v>
      </c>
      <c r="F64" s="29">
        <f t="shared" si="23"/>
        <v>0.22470481824054794</v>
      </c>
      <c r="G64" s="29">
        <f t="shared" si="23"/>
        <v>0.22722462021985299</v>
      </c>
      <c r="H64" s="29">
        <f t="shared" si="23"/>
        <v>0.23411230073066347</v>
      </c>
      <c r="I64" s="29">
        <f t="shared" si="23"/>
        <v>0.15943753517601436</v>
      </c>
      <c r="J64" s="29">
        <f t="shared" si="23"/>
        <v>0.16024283882442639</v>
      </c>
      <c r="K64" s="29">
        <f t="shared" si="23"/>
        <v>0.16106424854580664</v>
      </c>
      <c r="L64" s="29">
        <f t="shared" si="23"/>
        <v>0.1619020864616145</v>
      </c>
      <c r="M64" s="29">
        <f t="shared" si="23"/>
        <v>0.16275668113573855</v>
      </c>
      <c r="N64" s="29">
        <f t="shared" si="23"/>
        <v>0.16362836770334505</v>
      </c>
      <c r="O64" s="29">
        <f t="shared" si="23"/>
        <v>0.16451748800230362</v>
      </c>
      <c r="P64" s="29">
        <f t="shared" si="23"/>
        <v>0.16542439070724146</v>
      </c>
      <c r="Q64" s="29">
        <f t="shared" si="23"/>
        <v>0.16634943146627801</v>
      </c>
      <c r="R64" s="29">
        <f t="shared" si="23"/>
        <v>0</v>
      </c>
      <c r="S64" s="29">
        <f t="shared" si="23"/>
        <v>0</v>
      </c>
      <c r="T64" s="29">
        <f t="shared" si="23"/>
        <v>0</v>
      </c>
      <c r="U64" s="29">
        <f t="shared" si="23"/>
        <v>0</v>
      </c>
      <c r="V64" s="29">
        <f t="shared" si="23"/>
        <v>0</v>
      </c>
      <c r="W64" s="29">
        <f t="shared" si="23"/>
        <v>0</v>
      </c>
      <c r="X64" s="29">
        <f t="shared" si="23"/>
        <v>0</v>
      </c>
      <c r="Y64" s="29">
        <f t="shared" si="23"/>
        <v>0</v>
      </c>
      <c r="Z64" s="29">
        <f t="shared" si="23"/>
        <v>0</v>
      </c>
      <c r="AA64" s="29">
        <f t="shared" si="23"/>
        <v>0</v>
      </c>
      <c r="AB64" s="29">
        <f t="shared" si="23"/>
        <v>0</v>
      </c>
      <c r="AC64" s="29"/>
      <c r="AD64" s="29">
        <f t="shared" si="11"/>
        <v>2.9124418959132408</v>
      </c>
    </row>
    <row r="65" spans="1:30" x14ac:dyDescent="0.25">
      <c r="A65" t="s">
        <v>29</v>
      </c>
      <c r="B65" s="30">
        <f>IF(B33="JA",B60*B50+B62*B50+B63*VLOOKUP($C$8,Prijzen!$B$65:$T$68,'Business case'!B31,FALSE),0)</f>
        <v>0</v>
      </c>
      <c r="C65" s="30">
        <f>IF(C33="JA",C60*C50+C62*C50+C63*VLOOKUP($C$8,Prijzen!$B$65:$T$68,'Business case'!C31,FALSE),0)</f>
        <v>397.80894521996134</v>
      </c>
      <c r="D65" s="30">
        <f>IF(D33="JA",D60*D50+D62*D50+D63*VLOOKUP($C$8,Prijzen!$B$65:$T$68,'Business case'!D31,FALSE),0)</f>
        <v>356.48045206216017</v>
      </c>
      <c r="E65" s="30">
        <f>IF(E33="JA",E60*E50+E62*E50+E63*VLOOKUP($C$8,Prijzen!$B$65:$T$68,'Business case'!E31,FALSE),0)</f>
        <v>335.85092743086102</v>
      </c>
      <c r="F65" s="30">
        <f>IF(F33="JA",F60*F50+F62*F50+F63*VLOOKUP($C$8,Prijzen!$B$65:$T$68,'Business case'!F31,FALSE),0)</f>
        <v>317.24765983726843</v>
      </c>
      <c r="G65" s="30">
        <f>IF(G33="JA",G60*G50+G62*G50+G63*VLOOKUP($C$8,Prijzen!$B$65:$T$68,'Business case'!G31,FALSE),0)</f>
        <v>318.55958510144831</v>
      </c>
      <c r="H65" s="30">
        <f>IF(H33="JA",H60*H50+H62*H50+H63*VLOOKUP($C$8,Prijzen!$B$65:$T$68,'Business case'!H31,FALSE),0)</f>
        <v>325.91831947847987</v>
      </c>
      <c r="I65" s="30">
        <f>IF(I33="JA",I60*I50+I62*I50+I63*VLOOKUP($C$8,Prijzen!$B$65:$T$68,'Business case'!I31,FALSE),0)</f>
        <v>220.40648043964438</v>
      </c>
      <c r="J65" s="30">
        <f>IF(J33="JA",J60*J50+J62*J50+J63*VLOOKUP($C$8,Prijzen!$B$65:$T$68,'Business case'!J31,FALSE),0)</f>
        <v>219.96909423734292</v>
      </c>
      <c r="K65" s="30">
        <f>IF(K33="JA",K60*K50+K62*K50+K63*VLOOKUP($C$8,Prijzen!$B$65:$T$68,'Business case'!K31,FALSE),0)</f>
        <v>219.54898594326511</v>
      </c>
      <c r="L65" s="30">
        <f>IF(L33="JA",L60*L50+L62*L50+L63*VLOOKUP($C$8,Prijzen!$B$65:$T$68,'Business case'!L31,FALSE),0)</f>
        <v>219.14621743244726</v>
      </c>
      <c r="M65" s="30">
        <f>IF(M33="JA",M60*M50+M62*M50+M63*VLOOKUP($C$8,Prijzen!$B$65:$T$68,'Business case'!M31,FALSE),0)</f>
        <v>218.76085249787064</v>
      </c>
      <c r="N65" s="30">
        <f>IF(N33="JA",N60*N50+N62*N50+N63*VLOOKUP($C$8,Prijzen!$B$65:$T$68,'Business case'!N31,FALSE),0)</f>
        <v>218.39295686727067</v>
      </c>
      <c r="O65" s="30">
        <f>IF(O33="JA",O60*O50+O62*O50+O63*VLOOKUP($C$8,Prijzen!$B$65:$T$68,'Business case'!O31,FALSE),0)</f>
        <v>218.0425982202172</v>
      </c>
      <c r="P65" s="30">
        <f>IF(P33="JA",P60*P50+P62*P50+P63*VLOOKUP($C$8,Prijzen!$B$65:$T$68,'Business case'!P31,FALSE),0)</f>
        <v>217.70984620546926</v>
      </c>
      <c r="Q65" s="30">
        <f>IF(Q33="JA",Q60*Q50+Q62*Q50+Q63*VLOOKUP($C$8,Prijzen!$B$65:$T$68,'Business case'!Q31,FALSE),0)</f>
        <v>217.39477245860661</v>
      </c>
      <c r="R65" s="30">
        <f>IF(R33="JA",R60*R50+R62*R50+R63*VLOOKUP($C$8,Prijzen!$B$65:$T$68,'Business case'!R31,FALSE),0)</f>
        <v>0</v>
      </c>
      <c r="S65" s="30">
        <f>IF(S33="JA",S60*S50+S62*S50+S63*VLOOKUP($C$8,Prijzen!$B$65:$T$68,'Business case'!S31,FALSE),0)</f>
        <v>0</v>
      </c>
      <c r="T65" s="30">
        <f>IF(T33="JA",T60*T50+T62*T50+T63*VLOOKUP($C$8,Prijzen!$B$65:$T$68,'Business case'!T31,FALSE),0)</f>
        <v>0</v>
      </c>
      <c r="U65" s="30">
        <f>IF(U33="JA",U60*U50+U62*U50+U63*VLOOKUP($C$8,Prijzen!$B$65:$T$68,'Business case'!U31,FALSE),0)</f>
        <v>0</v>
      </c>
      <c r="V65" s="30">
        <f>IF(V33="JA",V60*V50+V62*V50+V63*VLOOKUP($C$8,Prijzen!$B$65:$T$68,'Business case'!V31,FALSE),0)</f>
        <v>0</v>
      </c>
      <c r="W65" s="30">
        <f>IF(W33="JA",W60*W50+W62*W50+W63*VLOOKUP($C$8,Prijzen!$B$65:$T$68,'Business case'!W31,FALSE),0)</f>
        <v>0</v>
      </c>
      <c r="X65" s="30">
        <f>IF(X33="JA",X60*X50+X62*X50+X63*VLOOKUP($C$8,Prijzen!$B$65:$T$68,'Business case'!X31,FALSE),0)</f>
        <v>0</v>
      </c>
      <c r="Y65" s="30">
        <f>IF(Y33="JA",Y60*Y50+Y62*Y50+Y63*VLOOKUP($C$8,Prijzen!$B$65:$T$68,'Business case'!Y31,FALSE),0)</f>
        <v>0</v>
      </c>
      <c r="Z65" s="30">
        <f>IF(Z33="JA",Z60*Z50+Z62*Z50+Z63*VLOOKUP($C$8,Prijzen!$B$65:$T$68,'Business case'!Z31,FALSE),0)</f>
        <v>0</v>
      </c>
      <c r="AA65" s="30">
        <f>IF(AA33="JA",AA60*AA50+AA62*AA50+AA63*VLOOKUP($C$8,Prijzen!$B$65:$T$68,'Business case'!AA31,FALSE),0)</f>
        <v>0</v>
      </c>
      <c r="AB65" s="30">
        <f>IF(AB33="JA",AB60*AB50+AB62*AB50+AB63*VLOOKUP($C$8,Prijzen!$B$65:$T$68,'Business case'!AB31,FALSE),0)</f>
        <v>0</v>
      </c>
      <c r="AC65" s="30"/>
      <c r="AD65" s="30">
        <f t="shared" si="11"/>
        <v>4021.2376934323133</v>
      </c>
    </row>
    <row r="66" spans="1:30" x14ac:dyDescent="0.25">
      <c r="A66" t="s">
        <v>86</v>
      </c>
      <c r="B66" s="9">
        <f>IF(B33="JA",-PMT($C$17,Kengetallen!$B$16,Investering!$D$30,0,1),0)</f>
        <v>0</v>
      </c>
      <c r="C66" s="9">
        <f>IF(C33="JA",-PMT($C$17,Kengetallen!$B$16,Investering!$D$30,0,1),0)</f>
        <v>111.07321823887055</v>
      </c>
      <c r="D66" s="9">
        <f>IF(D33="JA",-PMT($C$17,Kengetallen!$B$16,Investering!$D$30,0,1),0)</f>
        <v>111.07321823887055</v>
      </c>
      <c r="E66" s="9">
        <f>IF(E33="JA",-PMT($C$17,Kengetallen!$B$16,Investering!$D$30,0,1),0)</f>
        <v>111.07321823887055</v>
      </c>
      <c r="F66" s="9">
        <f>IF(F33="JA",-PMT($C$17,Kengetallen!$B$16,Investering!$D$30,0,1),0)</f>
        <v>111.07321823887055</v>
      </c>
      <c r="G66" s="9">
        <f>IF(G33="JA",-PMT($C$17,Kengetallen!$B$16,Investering!$D$30,0,1),0)</f>
        <v>111.07321823887055</v>
      </c>
      <c r="H66" s="9">
        <f>IF(H33="JA",-PMT($C$17,Kengetallen!$B$16,Investering!$D$30,0,1),0)</f>
        <v>111.07321823887055</v>
      </c>
      <c r="I66" s="9">
        <f>IF(I33="JA",-PMT($C$17,Kengetallen!$B$16,Investering!$D$30,0,1),0)</f>
        <v>111.07321823887055</v>
      </c>
      <c r="J66" s="9">
        <f>IF(J33="JA",-PMT($C$17,Kengetallen!$B$16,Investering!$D$30,0,1),0)</f>
        <v>111.07321823887055</v>
      </c>
      <c r="K66" s="9">
        <f>IF(K33="JA",-PMT($C$17,Kengetallen!$B$16,Investering!$D$30,0,1),0)</f>
        <v>111.07321823887055</v>
      </c>
      <c r="L66" s="9">
        <f>IF(L33="JA",-PMT($C$17,Kengetallen!$B$16,Investering!$D$30,0,1),0)</f>
        <v>111.07321823887055</v>
      </c>
      <c r="M66" s="9">
        <f>IF(M33="JA",-PMT($C$17,Kengetallen!$B$16,Investering!$D$30,0,1),0)</f>
        <v>111.07321823887055</v>
      </c>
      <c r="N66" s="9">
        <f>IF(N33="JA",-PMT($C$17,Kengetallen!$B$16,Investering!$D$30,0,1),0)</f>
        <v>111.07321823887055</v>
      </c>
      <c r="O66" s="9">
        <f>IF(O33="JA",-PMT($C$17,Kengetallen!$B$16,Investering!$D$30,0,1),0)</f>
        <v>111.07321823887055</v>
      </c>
      <c r="P66" s="9">
        <f>IF(P33="JA",-PMT($C$17,Kengetallen!$B$16,Investering!$D$30,0,1),0)</f>
        <v>111.07321823887055</v>
      </c>
      <c r="Q66" s="9">
        <f>IF(Q33="JA",-PMT($C$17,Kengetallen!$B$16,Investering!$D$30,0,1),0)</f>
        <v>111.07321823887055</v>
      </c>
      <c r="R66" s="9">
        <f>IF(R33="JA",-PMT($C$17,Kengetallen!$B$16,Investering!$D$30,0,1),0)</f>
        <v>0</v>
      </c>
      <c r="S66" s="9">
        <f>IF(S33="JA",-PMT($C$17,Kengetallen!$B$16,Investering!$D$30,0,1),0)</f>
        <v>0</v>
      </c>
      <c r="T66" s="9">
        <f>IF(T33="JA",-PMT($C$17,Kengetallen!$B$16,Investering!$D$30,0,1),0)</f>
        <v>0</v>
      </c>
      <c r="U66" s="9">
        <f>IF(U33="JA",-PMT($C$17,Kengetallen!$B$16,Investering!$D$30,0,1),0)</f>
        <v>0</v>
      </c>
      <c r="V66" s="9">
        <f>IF(V33="JA",-PMT($C$17,Kengetallen!$B$16,Investering!$D$30,0,1),0)</f>
        <v>0</v>
      </c>
      <c r="W66" s="9">
        <f>IF(W33="JA",-PMT($C$17,Kengetallen!$B$16,Investering!$D$30,0,1),0)</f>
        <v>0</v>
      </c>
      <c r="X66" s="9">
        <f>IF(X33="JA",-PMT($C$17,Kengetallen!$B$16,Investering!$D$30,0,1),0)</f>
        <v>0</v>
      </c>
      <c r="Y66" s="9">
        <f>IF(Y33="JA",-PMT($C$17,Kengetallen!$B$16,Investering!$D$30,0,1),0)</f>
        <v>0</v>
      </c>
      <c r="Z66" s="9">
        <f>IF(Z33="JA",-PMT($C$17,Kengetallen!$B$16,Investering!$D$30,0,1),0)</f>
        <v>0</v>
      </c>
      <c r="AA66" s="9">
        <f>IF(AA33="JA",-PMT($C$17,Kengetallen!$B$16,Investering!$D$30,0,1),0)</f>
        <v>0</v>
      </c>
      <c r="AB66" s="9">
        <f>IF(AB33="JA",-PMT($C$17,Kengetallen!$B$16,Investering!$D$30,0,1),0)</f>
        <v>0</v>
      </c>
      <c r="AC66" s="9"/>
      <c r="AD66" s="9">
        <f t="shared" si="11"/>
        <v>1666.0982735830587</v>
      </c>
    </row>
    <row r="67" spans="1:30" x14ac:dyDescent="0.25">
      <c r="A67" t="s">
        <v>33</v>
      </c>
      <c r="B67" s="9">
        <f>IF(B33="JA",IF($C$19&gt;0,Kengetallen!$B$20*(1+Kengetallen!$B$2)^'Business case'!B$32,0),0)</f>
        <v>0</v>
      </c>
      <c r="C67" s="9">
        <f>IF(C33="JA",IF($C$19&gt;0,Kengetallen!$B$20*(1+Kengetallen!$B$2)^'Business case'!C$32,0),0)</f>
        <v>25.5</v>
      </c>
      <c r="D67" s="9">
        <f>IF(D33="JA",IF($C$19&gt;0,Kengetallen!$B$20*(1+Kengetallen!$B$2)^'Business case'!D$32,0),0)</f>
        <v>26.009999999999998</v>
      </c>
      <c r="E67" s="9">
        <f>IF(E33="JA",IF($C$19&gt;0,Kengetallen!$B$20*(1+Kengetallen!$B$2)^'Business case'!E$32,0),0)</f>
        <v>26.530199999999997</v>
      </c>
      <c r="F67" s="9">
        <f>IF(F33="JA",IF($C$19&gt;0,Kengetallen!$B$20*(1+Kengetallen!$B$2)^'Business case'!F$32,0),0)</f>
        <v>27.060804000000001</v>
      </c>
      <c r="G67" s="9">
        <f>IF(G33="JA",IF($C$19&gt;0,Kengetallen!$B$20*(1+Kengetallen!$B$2)^'Business case'!G$32,0),0)</f>
        <v>27.602020079999999</v>
      </c>
      <c r="H67" s="9">
        <f>IF(H33="JA",IF($C$19&gt;0,Kengetallen!$B$20*(1+Kengetallen!$B$2)^'Business case'!H$32,0),0)</f>
        <v>28.154060481600002</v>
      </c>
      <c r="I67" s="9">
        <f>IF(I33="JA",IF($C$19&gt;0,Kengetallen!$B$20*(1+Kengetallen!$B$2)^'Business case'!I$32,0),0)</f>
        <v>28.717141691231994</v>
      </c>
      <c r="J67" s="9">
        <f>IF(J33="JA",IF($C$19&gt;0,Kengetallen!$B$20*(1+Kengetallen!$B$2)^'Business case'!J$32,0),0)</f>
        <v>29.291484525056639</v>
      </c>
      <c r="K67" s="9">
        <f>IF(K33="JA",IF($C$19&gt;0,Kengetallen!$B$20*(1+Kengetallen!$B$2)^'Business case'!K$32,0),0)</f>
        <v>29.877314215557771</v>
      </c>
      <c r="L67" s="9">
        <f>IF(L33="JA",IF($C$19&gt;0,Kengetallen!$B$20*(1+Kengetallen!$B$2)^'Business case'!L$32,0),0)</f>
        <v>30.474860499868928</v>
      </c>
      <c r="M67" s="9">
        <f>IF(M33="JA",IF($C$19&gt;0,Kengetallen!$B$20*(1+Kengetallen!$B$2)^'Business case'!M$32,0),0)</f>
        <v>31.0843577098663</v>
      </c>
      <c r="N67" s="9">
        <f>IF(N33="JA",IF($C$19&gt;0,Kengetallen!$B$20*(1+Kengetallen!$B$2)^'Business case'!N$32,0),0)</f>
        <v>31.706044864063632</v>
      </c>
      <c r="O67" s="9">
        <f>IF(O33="JA",IF($C$19&gt;0,Kengetallen!$B$20*(1+Kengetallen!$B$2)^'Business case'!O$32,0),0)</f>
        <v>32.340165761344899</v>
      </c>
      <c r="P67" s="9">
        <f>IF(P33="JA",IF($C$19&gt;0,Kengetallen!$B$20*(1+Kengetallen!$B$2)^'Business case'!P$32,0),0)</f>
        <v>32.986969076571803</v>
      </c>
      <c r="Q67" s="9">
        <f>IF(Q33="JA",IF($C$19&gt;0,Kengetallen!$B$20*(1+Kengetallen!$B$2)^'Business case'!Q$32,0),0)</f>
        <v>33.646708458103234</v>
      </c>
      <c r="R67" s="9">
        <f>IF(R33="JA",IF($C$19&gt;0,Kengetallen!$B$20*(1+Kengetallen!$B$2)^'Business case'!R$32,0),0)</f>
        <v>0</v>
      </c>
      <c r="S67" s="9">
        <f>IF(S33="JA",IF($C$19&gt;0,Kengetallen!$B$20*(1+Kengetallen!$B$2)^'Business case'!S$32,0),0)</f>
        <v>0</v>
      </c>
      <c r="T67" s="9">
        <f>IF(T33="JA",IF($C$19&gt;0,Kengetallen!$B$20*(1+Kengetallen!$B$2)^'Business case'!T$32,0),0)</f>
        <v>0</v>
      </c>
      <c r="U67" s="9">
        <f>IF(U33="JA",IF($C$19&gt;0,Kengetallen!$B$20*(1+Kengetallen!$B$2)^'Business case'!U$32,0),0)</f>
        <v>0</v>
      </c>
      <c r="V67" s="9">
        <f>IF(V33="JA",IF($C$19&gt;0,Kengetallen!$B$20*(1+Kengetallen!$B$2)^'Business case'!V$32,0),0)</f>
        <v>0</v>
      </c>
      <c r="W67" s="9">
        <f>IF(W33="JA",IF($C$19&gt;0,Kengetallen!$B$20*(1+Kengetallen!$B$2)^'Business case'!W$32,0),0)</f>
        <v>0</v>
      </c>
      <c r="X67" s="9">
        <f>IF(X33="JA",IF($C$19&gt;0,Kengetallen!$B$20*(1+Kengetallen!$B$2)^'Business case'!X$32,0),0)</f>
        <v>0</v>
      </c>
      <c r="Y67" s="9">
        <f>IF(Y33="JA",IF($C$19&gt;0,Kengetallen!$B$20*(1+Kengetallen!$B$2)^'Business case'!Y$32,0),0)</f>
        <v>0</v>
      </c>
      <c r="Z67" s="9">
        <f>IF(Z33="JA",IF($C$19&gt;0,Kengetallen!$B$20*(1+Kengetallen!$B$2)^'Business case'!Z$32,0),0)</f>
        <v>0</v>
      </c>
      <c r="AA67" s="9">
        <f>IF(AA33="JA",IF($C$19&gt;0,Kengetallen!$B$20*(1+Kengetallen!$B$2)^'Business case'!AA$32,0),0)</f>
        <v>0</v>
      </c>
      <c r="AB67" s="9">
        <f>IF(AB33="JA",IF($C$19&gt;0,Kengetallen!$B$20*(1+Kengetallen!$B$2)^'Business case'!AB$32,0),0)</f>
        <v>0</v>
      </c>
      <c r="AC67" s="9"/>
      <c r="AD67" s="9">
        <f t="shared" si="11"/>
        <v>440.98213136326524</v>
      </c>
    </row>
    <row r="68" spans="1:30" x14ac:dyDescent="0.25">
      <c r="A68" s="3" t="s">
        <v>36</v>
      </c>
      <c r="B68" s="17">
        <f t="shared" ref="B68:R68" si="24">SUM(B52:B58)-B65+B66+B67</f>
        <v>0</v>
      </c>
      <c r="C68" s="17">
        <f t="shared" si="24"/>
        <v>1658.0507337671118</v>
      </c>
      <c r="D68" s="17">
        <f t="shared" si="24"/>
        <v>1663.860063464211</v>
      </c>
      <c r="E68" s="17">
        <f t="shared" si="24"/>
        <v>1669.6106149346344</v>
      </c>
      <c r="F68" s="17">
        <f t="shared" si="24"/>
        <v>1675.2126582112908</v>
      </c>
      <c r="G68" s="17">
        <f t="shared" si="24"/>
        <v>1681.3481869662103</v>
      </c>
      <c r="H68" s="17">
        <f t="shared" si="24"/>
        <v>1687.8551640781138</v>
      </c>
      <c r="I68" s="17">
        <f t="shared" si="24"/>
        <v>1800.1746531904221</v>
      </c>
      <c r="J68" s="17">
        <f t="shared" si="24"/>
        <v>1807.5558424676656</v>
      </c>
      <c r="K68" s="17">
        <f t="shared" si="24"/>
        <v>1815.0586298981846</v>
      </c>
      <c r="L68" s="17">
        <f t="shared" si="24"/>
        <v>1822.6857311281724</v>
      </c>
      <c r="M68" s="17">
        <f t="shared" si="24"/>
        <v>1830.4399154363018</v>
      </c>
      <c r="N68" s="17">
        <f t="shared" si="24"/>
        <v>1838.3240068279265</v>
      </c>
      <c r="O68" s="17">
        <f t="shared" si="24"/>
        <v>1846.3408851512245</v>
      </c>
      <c r="P68" s="17">
        <f t="shared" si="24"/>
        <v>1854.4934872357421</v>
      </c>
      <c r="Q68" s="17">
        <f t="shared" si="24"/>
        <v>1862.7848080537697</v>
      </c>
      <c r="R68" s="17">
        <f t="shared" si="24"/>
        <v>0</v>
      </c>
      <c r="S68" s="17">
        <f t="shared" ref="S68:AB68" si="25">SUM(S52:S58)-S65+S66+S67</f>
        <v>0</v>
      </c>
      <c r="T68" s="17">
        <f t="shared" si="25"/>
        <v>0</v>
      </c>
      <c r="U68" s="17">
        <f t="shared" si="25"/>
        <v>0</v>
      </c>
      <c r="V68" s="17">
        <f t="shared" si="25"/>
        <v>0</v>
      </c>
      <c r="W68" s="17">
        <f t="shared" si="25"/>
        <v>0</v>
      </c>
      <c r="X68" s="17">
        <f t="shared" si="25"/>
        <v>0</v>
      </c>
      <c r="Y68" s="17">
        <f t="shared" si="25"/>
        <v>0</v>
      </c>
      <c r="Z68" s="17">
        <f t="shared" si="25"/>
        <v>0</v>
      </c>
      <c r="AA68" s="17">
        <f t="shared" si="25"/>
        <v>0</v>
      </c>
      <c r="AB68" s="17">
        <f t="shared" si="25"/>
        <v>0</v>
      </c>
      <c r="AC68" s="17"/>
      <c r="AD68" s="17">
        <f t="shared" si="11"/>
        <v>26513.795380810981</v>
      </c>
    </row>
    <row r="69" spans="1:30" x14ac:dyDescent="0.25">
      <c r="A69" t="s">
        <v>40</v>
      </c>
      <c r="B69" s="9">
        <f t="shared" ref="B69:R69" si="26">B53+B58-B65+B67</f>
        <v>0</v>
      </c>
      <c r="C69" s="9">
        <f t="shared" si="26"/>
        <v>181.3042926651961</v>
      </c>
      <c r="D69" s="9">
        <f t="shared" si="26"/>
        <v>187.11362236229564</v>
      </c>
      <c r="E69" s="9">
        <f t="shared" si="26"/>
        <v>192.86417383271899</v>
      </c>
      <c r="F69" s="9">
        <f t="shared" si="26"/>
        <v>198.46621710937521</v>
      </c>
      <c r="G69" s="9">
        <f t="shared" si="26"/>
        <v>204.60174586429468</v>
      </c>
      <c r="H69" s="9">
        <f t="shared" si="26"/>
        <v>211.10872297619827</v>
      </c>
      <c r="I69" s="9">
        <f t="shared" si="26"/>
        <v>323.42821208850648</v>
      </c>
      <c r="J69" s="9">
        <f t="shared" si="26"/>
        <v>330.80940136575015</v>
      </c>
      <c r="K69" s="9">
        <f t="shared" si="26"/>
        <v>338.31218879626897</v>
      </c>
      <c r="L69" s="9">
        <f t="shared" si="26"/>
        <v>345.93929002625669</v>
      </c>
      <c r="M69" s="9">
        <f t="shared" si="26"/>
        <v>353.69347433438645</v>
      </c>
      <c r="N69" s="9">
        <f t="shared" si="26"/>
        <v>361.57756572601079</v>
      </c>
      <c r="O69" s="9">
        <f t="shared" si="26"/>
        <v>369.594444049309</v>
      </c>
      <c r="P69" s="9">
        <f t="shared" si="26"/>
        <v>377.7470461338267</v>
      </c>
      <c r="Q69" s="9">
        <f t="shared" si="26"/>
        <v>386.0383669518543</v>
      </c>
      <c r="R69" s="9">
        <f t="shared" si="26"/>
        <v>0</v>
      </c>
      <c r="S69" s="9">
        <f t="shared" ref="S69:AB69" si="27">S53+S58-S65+S67</f>
        <v>0</v>
      </c>
      <c r="T69" s="9">
        <f t="shared" si="27"/>
        <v>0</v>
      </c>
      <c r="U69" s="9">
        <f t="shared" si="27"/>
        <v>0</v>
      </c>
      <c r="V69" s="9">
        <f t="shared" si="27"/>
        <v>0</v>
      </c>
      <c r="W69" s="9">
        <f t="shared" si="27"/>
        <v>0</v>
      </c>
      <c r="X69" s="9">
        <f t="shared" si="27"/>
        <v>0</v>
      </c>
      <c r="Y69" s="9">
        <f t="shared" si="27"/>
        <v>0</v>
      </c>
      <c r="Z69" s="9">
        <f t="shared" si="27"/>
        <v>0</v>
      </c>
      <c r="AA69" s="9">
        <f t="shared" si="27"/>
        <v>0</v>
      </c>
      <c r="AB69" s="9">
        <f t="shared" si="27"/>
        <v>0</v>
      </c>
      <c r="AC69" s="9"/>
      <c r="AD69" s="9"/>
    </row>
    <row r="70" spans="1:30" x14ac:dyDescent="0.25">
      <c r="A70" s="3" t="s">
        <v>87</v>
      </c>
      <c r="B70" s="17">
        <f>IFERROR(B42-B68,"")</f>
        <v>0</v>
      </c>
      <c r="C70" s="17">
        <f>IFERROR(C42-C68,"")</f>
        <v>-20.700161978866618</v>
      </c>
      <c r="D70" s="17">
        <f t="shared" ref="D70:R70" si="28">IFERROR(D42-D68,"")</f>
        <v>-45.547677769263146</v>
      </c>
      <c r="E70" s="17">
        <f t="shared" si="28"/>
        <v>-59.318731718905156</v>
      </c>
      <c r="F70" s="17">
        <f t="shared" si="28"/>
        <v>-53.241868818969806</v>
      </c>
      <c r="G70" s="17">
        <f t="shared" si="28"/>
        <v>-15.446913358770189</v>
      </c>
      <c r="H70" s="17">
        <f t="shared" si="28"/>
        <v>14.336695544492159</v>
      </c>
      <c r="I70" s="17">
        <f t="shared" si="28"/>
        <v>-74.641475265824965</v>
      </c>
      <c r="J70" s="17">
        <f t="shared" si="28"/>
        <v>-58.214519875037922</v>
      </c>
      <c r="K70" s="17">
        <f t="shared" si="28"/>
        <v>-41.432999744165727</v>
      </c>
      <c r="L70" s="17">
        <f t="shared" si="28"/>
        <v>-24.290107261534104</v>
      </c>
      <c r="M70" s="17">
        <f t="shared" si="28"/>
        <v>-6.7788979827921594</v>
      </c>
      <c r="N70" s="17">
        <f t="shared" si="28"/>
        <v>11.107712084192144</v>
      </c>
      <c r="O70" s="17">
        <f t="shared" si="28"/>
        <v>29.376949248675373</v>
      </c>
      <c r="P70" s="17">
        <f t="shared" si="28"/>
        <v>48.036184961694289</v>
      </c>
      <c r="Q70" s="17">
        <f t="shared" si="28"/>
        <v>67.092938697154295</v>
      </c>
      <c r="R70" s="17">
        <f t="shared" si="28"/>
        <v>0</v>
      </c>
      <c r="S70" s="17">
        <f t="shared" ref="S70:AB70" si="29">IFERROR(S42-S68,"")</f>
        <v>0</v>
      </c>
      <c r="T70" s="17">
        <f t="shared" si="29"/>
        <v>0</v>
      </c>
      <c r="U70" s="17">
        <f t="shared" si="29"/>
        <v>0</v>
      </c>
      <c r="V70" s="17">
        <f t="shared" si="29"/>
        <v>0</v>
      </c>
      <c r="W70" s="17">
        <f t="shared" si="29"/>
        <v>0</v>
      </c>
      <c r="X70" s="17">
        <f t="shared" si="29"/>
        <v>0</v>
      </c>
      <c r="Y70" s="17">
        <f t="shared" si="29"/>
        <v>0</v>
      </c>
      <c r="Z70" s="17">
        <f t="shared" si="29"/>
        <v>0</v>
      </c>
      <c r="AA70" s="17">
        <f t="shared" si="29"/>
        <v>0</v>
      </c>
      <c r="AB70" s="17">
        <f t="shared" si="29"/>
        <v>0</v>
      </c>
      <c r="AC70" s="17"/>
      <c r="AD70" s="17">
        <f t="shared" si="11"/>
        <v>-229.66287323792153</v>
      </c>
    </row>
    <row r="71" spans="1:30" x14ac:dyDescent="0.25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outlineLevel="1" x14ac:dyDescent="0.25">
      <c r="A72" s="27" t="s">
        <v>311</v>
      </c>
    </row>
    <row r="73" spans="1:30" outlineLevel="1" x14ac:dyDescent="0.25">
      <c r="A73" t="s">
        <v>72</v>
      </c>
      <c r="B73">
        <f t="shared" ref="B73:AB73" si="30">IF(B61="JA",$C$1*(1-$C$4)*(1-$C$3),0)</f>
        <v>0</v>
      </c>
      <c r="C73">
        <f t="shared" si="30"/>
        <v>0</v>
      </c>
      <c r="D73">
        <f t="shared" si="30"/>
        <v>0</v>
      </c>
      <c r="E73">
        <f t="shared" si="30"/>
        <v>0</v>
      </c>
      <c r="F73">
        <f t="shared" si="30"/>
        <v>0</v>
      </c>
      <c r="G73">
        <f t="shared" si="30"/>
        <v>0</v>
      </c>
      <c r="H73">
        <f t="shared" si="30"/>
        <v>0</v>
      </c>
      <c r="I73">
        <f t="shared" si="30"/>
        <v>0</v>
      </c>
      <c r="J73">
        <f t="shared" si="30"/>
        <v>0</v>
      </c>
      <c r="K73">
        <f t="shared" si="30"/>
        <v>0</v>
      </c>
      <c r="L73">
        <f t="shared" si="30"/>
        <v>0</v>
      </c>
      <c r="M73">
        <f t="shared" si="30"/>
        <v>0</v>
      </c>
      <c r="N73">
        <f t="shared" si="30"/>
        <v>0</v>
      </c>
      <c r="O73">
        <f t="shared" si="30"/>
        <v>0</v>
      </c>
      <c r="P73" s="25">
        <f t="shared" si="30"/>
        <v>0</v>
      </c>
      <c r="Q73" s="25">
        <f t="shared" si="30"/>
        <v>0</v>
      </c>
      <c r="R73" s="25">
        <f t="shared" si="30"/>
        <v>0</v>
      </c>
      <c r="S73" s="25">
        <f t="shared" si="30"/>
        <v>0</v>
      </c>
      <c r="T73" s="25">
        <f t="shared" si="30"/>
        <v>0</v>
      </c>
      <c r="U73" s="25">
        <f t="shared" si="30"/>
        <v>0</v>
      </c>
      <c r="V73" s="25">
        <f t="shared" si="30"/>
        <v>0</v>
      </c>
      <c r="W73" s="25">
        <f t="shared" si="30"/>
        <v>0</v>
      </c>
      <c r="X73" s="25">
        <f t="shared" si="30"/>
        <v>0</v>
      </c>
      <c r="Y73" s="25">
        <f t="shared" si="30"/>
        <v>0</v>
      </c>
      <c r="Z73" s="25">
        <f t="shared" si="30"/>
        <v>0</v>
      </c>
      <c r="AA73" s="25">
        <f t="shared" si="30"/>
        <v>0</v>
      </c>
      <c r="AB73" s="25">
        <f t="shared" si="30"/>
        <v>0</v>
      </c>
      <c r="AC73" s="25"/>
      <c r="AD73" s="25">
        <f t="shared" ref="AD73:AD96" si="31">SUM(B73:AB73)</f>
        <v>0</v>
      </c>
    </row>
    <row r="74" spans="1:30" outlineLevel="1" x14ac:dyDescent="0.25">
      <c r="A74" s="13" t="s">
        <v>67</v>
      </c>
      <c r="AD74">
        <f t="shared" si="31"/>
        <v>0</v>
      </c>
    </row>
    <row r="75" spans="1:30" outlineLevel="1" x14ac:dyDescent="0.25">
      <c r="A75" t="s">
        <v>73</v>
      </c>
      <c r="B75" s="25">
        <f>IF(B33="JA",$C$1*(1-$C$3)*$C$4*9.5/$D$14,0)</f>
        <v>0</v>
      </c>
      <c r="C75" s="25">
        <f>IF(C33="JA",$C$1*(1-$C$3)*$C$4*9.5/$D$14,0)</f>
        <v>1452.075</v>
      </c>
      <c r="D75" s="25">
        <f t="shared" ref="D75:AB75" si="32">IF(D33="JA",$C$1*(1-$C$3)*$C$4*9.5/$D$14,0)</f>
        <v>1452.075</v>
      </c>
      <c r="E75" s="25">
        <f t="shared" si="32"/>
        <v>1452.075</v>
      </c>
      <c r="F75" s="25">
        <f t="shared" si="32"/>
        <v>1452.075</v>
      </c>
      <c r="G75" s="25">
        <f t="shared" si="32"/>
        <v>1452.075</v>
      </c>
      <c r="H75" s="25">
        <f t="shared" si="32"/>
        <v>1452.075</v>
      </c>
      <c r="I75" s="25">
        <f t="shared" si="32"/>
        <v>1452.075</v>
      </c>
      <c r="J75" s="25">
        <f t="shared" si="32"/>
        <v>1452.075</v>
      </c>
      <c r="K75" s="25">
        <f t="shared" si="32"/>
        <v>1452.075</v>
      </c>
      <c r="L75" s="25">
        <f t="shared" si="32"/>
        <v>1452.075</v>
      </c>
      <c r="M75" s="25">
        <f t="shared" si="32"/>
        <v>1452.075</v>
      </c>
      <c r="N75" s="25">
        <f t="shared" si="32"/>
        <v>1452.075</v>
      </c>
      <c r="O75" s="25">
        <f t="shared" si="32"/>
        <v>1452.075</v>
      </c>
      <c r="P75" s="25">
        <f t="shared" si="32"/>
        <v>1452.075</v>
      </c>
      <c r="Q75" s="25">
        <f t="shared" si="32"/>
        <v>1452.075</v>
      </c>
      <c r="R75" s="25">
        <f t="shared" si="32"/>
        <v>0</v>
      </c>
      <c r="S75" s="25">
        <f t="shared" si="32"/>
        <v>0</v>
      </c>
      <c r="T75" s="25">
        <f t="shared" si="32"/>
        <v>0</v>
      </c>
      <c r="U75" s="25">
        <f t="shared" si="32"/>
        <v>0</v>
      </c>
      <c r="V75" s="25">
        <f t="shared" si="32"/>
        <v>0</v>
      </c>
      <c r="W75" s="25">
        <f t="shared" si="32"/>
        <v>0</v>
      </c>
      <c r="X75" s="25">
        <f t="shared" si="32"/>
        <v>0</v>
      </c>
      <c r="Y75" s="25">
        <f t="shared" si="32"/>
        <v>0</v>
      </c>
      <c r="Z75" s="25">
        <f t="shared" si="32"/>
        <v>0</v>
      </c>
      <c r="AA75" s="25">
        <f t="shared" si="32"/>
        <v>0</v>
      </c>
      <c r="AB75" s="25">
        <f t="shared" si="32"/>
        <v>0</v>
      </c>
      <c r="AC75" s="25"/>
      <c r="AD75" s="25">
        <f t="shared" si="31"/>
        <v>21781.125000000007</v>
      </c>
    </row>
    <row r="76" spans="1:30" outlineLevel="1" x14ac:dyDescent="0.25">
      <c r="A76" s="13" t="s">
        <v>67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>
        <f t="shared" si="31"/>
        <v>0</v>
      </c>
    </row>
    <row r="77" spans="1:30" outlineLevel="1" x14ac:dyDescent="0.25">
      <c r="A77" t="s">
        <v>74</v>
      </c>
      <c r="B77" s="24">
        <f>VLOOKUP($C$8,Prijzen!$B$32:$T$35,'Business case'!B31,FALSE)</f>
        <v>1.248756086373378</v>
      </c>
      <c r="C77" s="24">
        <f>VLOOKUP($C$8,Prijzen!$B$32:$T$35,'Business case'!C31,FALSE)</f>
        <v>1.2514967446419549</v>
      </c>
      <c r="D77" s="24">
        <f>VLOOKUP($C$8,Prijzen!$B$32:$T$35,'Business case'!D31,FALSE)</f>
        <v>1.2287304397192578</v>
      </c>
      <c r="E77" s="24">
        <f>VLOOKUP($C$8,Prijzen!$B$32:$T$35,'Business case'!E31,FALSE)</f>
        <v>1.2128648759239511</v>
      </c>
      <c r="F77" s="24">
        <f>VLOOKUP($C$8,Prijzen!$B$32:$T$35,'Business case'!F31,FALSE)</f>
        <v>1.222362781734142</v>
      </c>
      <c r="G77" s="24">
        <f>VLOOKUP($C$8,Prijzen!$B$32:$T$35,'Business case'!G31,FALSE)</f>
        <v>1.2671352026773273</v>
      </c>
      <c r="H77" s="24">
        <f>VLOOKUP($C$8,Prijzen!$B$32:$T$35,'Business case'!H31,FALSE)</f>
        <v>1.2991424041980122</v>
      </c>
      <c r="I77" s="24">
        <f>VLOOKUP($C$8,Prijzen!$B$32:$T$35,'Business case'!I31,FALSE)</f>
        <v>1.3162505241946256</v>
      </c>
      <c r="J77" s="24">
        <f>VLOOKUP($C$8,Prijzen!$B$32:$T$35,'Business case'!J31,FALSE)</f>
        <v>1.3337008065911713</v>
      </c>
      <c r="K77" s="24">
        <f>VLOOKUP($C$8,Prijzen!$B$32:$T$35,'Business case'!K31,FALSE)</f>
        <v>1.3515000946356479</v>
      </c>
      <c r="L77" s="24">
        <f>VLOOKUP($C$8,Prijzen!$B$32:$T$35,'Business case'!L31,FALSE)</f>
        <v>1.369655368441014</v>
      </c>
      <c r="M77" s="24">
        <f>VLOOKUP($C$8,Prijzen!$B$32:$T$35,'Business case'!M31,FALSE)</f>
        <v>1.3881737477224874</v>
      </c>
      <c r="N77" s="24">
        <f>VLOOKUP($C$8,Prijzen!$B$32:$T$35,'Business case'!N31,FALSE)</f>
        <v>1.4070624945895902</v>
      </c>
      <c r="O77" s="24">
        <f>VLOOKUP($C$8,Prijzen!$B$32:$T$35,'Business case'!O31,FALSE)</f>
        <v>1.4263290163940352</v>
      </c>
      <c r="P77" s="24">
        <f>VLOOKUP($C$8,Prijzen!$B$32:$T$35,'Business case'!P31,FALSE)</f>
        <v>1.445980868634569</v>
      </c>
      <c r="Q77" s="24">
        <f>VLOOKUP($C$8,Prijzen!$B$32:$T$35,'Business case'!Q31,FALSE)</f>
        <v>1.4660257579199134</v>
      </c>
      <c r="R77" s="24">
        <f>VLOOKUP($C$8,Prijzen!$B$32:$T$35,'Business case'!R31,FALSE)</f>
        <v>1.4864715449909649</v>
      </c>
      <c r="S77" s="24">
        <f>VLOOKUP($C$8,Prijzen!$B$32:$T$35,'Business case'!S31,FALSE)</f>
        <v>1.2991424041980122</v>
      </c>
      <c r="T77" s="24">
        <f>VLOOKUP($C$8,Prijzen!$B$32:$T$35,'Business case'!T31,FALSE)</f>
        <v>1.2991424041980122</v>
      </c>
      <c r="U77" s="24">
        <f>VLOOKUP($C$8,Prijzen!$B$32:$T$35,'Business case'!U31,FALSE)</f>
        <v>1.2991424041980122</v>
      </c>
      <c r="V77" s="24">
        <f>VLOOKUP($C$8,Prijzen!$B$32:$T$35,'Business case'!V31,FALSE)</f>
        <v>1.2991424041980122</v>
      </c>
      <c r="W77" s="24">
        <f>VLOOKUP($C$8,Prijzen!$B$32:$T$35,'Business case'!W31,FALSE)</f>
        <v>1.2991424041980122</v>
      </c>
      <c r="X77" s="24">
        <f>VLOOKUP($C$8,Prijzen!$B$32:$T$35,'Business case'!X31,FALSE)</f>
        <v>1.2991424041980122</v>
      </c>
      <c r="Y77" s="24">
        <f>VLOOKUP($C$8,Prijzen!$B$32:$T$35,'Business case'!Y31,FALSE)</f>
        <v>1.2991424041980122</v>
      </c>
      <c r="Z77" s="24">
        <f>VLOOKUP($C$8,Prijzen!$B$32:$T$35,'Business case'!Z31,FALSE)</f>
        <v>1.2991424041980122</v>
      </c>
      <c r="AA77" s="24">
        <f>VLOOKUP($C$8,Prijzen!$B$32:$T$35,'Business case'!AA31,FALSE)</f>
        <v>1.2991424041980122</v>
      </c>
      <c r="AB77" s="24">
        <f>VLOOKUP($C$8,Prijzen!$B$32:$T$35,'Business case'!AB31,FALSE)</f>
        <v>1.2991424041980122</v>
      </c>
      <c r="AC77" s="24"/>
      <c r="AD77" s="24">
        <f t="shared" si="31"/>
        <v>35.713062801362163</v>
      </c>
    </row>
    <row r="78" spans="1:30" outlineLevel="1" x14ac:dyDescent="0.25">
      <c r="A78" t="s">
        <v>75</v>
      </c>
      <c r="B78" s="24">
        <f>VLOOKUP($C$8,Prijzen!$B$38:$T$41,'Business case'!B31,FALSE)</f>
        <v>0.30772435747266325</v>
      </c>
      <c r="C78" s="24">
        <f>VLOOKUP($C$8,Prijzen!$B$38:$T$41,'Business case'!C31,FALSE)</f>
        <v>0.275890183279209</v>
      </c>
      <c r="D78" s="24">
        <f>VLOOKUP($C$8,Prijzen!$B$38:$T$41,'Business case'!D31,FALSE)</f>
        <v>0.24897066227602277</v>
      </c>
      <c r="E78" s="24">
        <f>VLOOKUP($C$8,Prijzen!$B$38:$T$41,'Business case'!E31,FALSE)</f>
        <v>0.23621624314417644</v>
      </c>
      <c r="F78" s="24">
        <f>VLOOKUP($C$8,Prijzen!$B$38:$T$41,'Business case'!F31,FALSE)</f>
        <v>0.22470481824054794</v>
      </c>
      <c r="G78" s="24">
        <f>VLOOKUP($C$8,Prijzen!$B$38:$T$41,'Business case'!G31,FALSE)</f>
        <v>0.22722462021985299</v>
      </c>
      <c r="H78" s="24">
        <f>VLOOKUP($C$8,Prijzen!$B$38:$T$41,'Business case'!H31,FALSE)</f>
        <v>0.23411230073066347</v>
      </c>
      <c r="I78" s="24">
        <f>VLOOKUP($C$8,Prijzen!$B$38:$T$41,'Business case'!I31,FALSE)</f>
        <v>0.2360860841826537</v>
      </c>
      <c r="J78" s="24">
        <f>VLOOKUP($C$8,Prijzen!$B$38:$T$41,'Business case'!J31,FALSE)</f>
        <v>0.23809934330368376</v>
      </c>
      <c r="K78" s="24">
        <f>VLOOKUP($C$8,Prijzen!$B$38:$T$41,'Business case'!K31,FALSE)</f>
        <v>0.24015286760713439</v>
      </c>
      <c r="L78" s="24">
        <f>VLOOKUP($C$8,Prijzen!$B$38:$T$41,'Business case'!L31,FALSE)</f>
        <v>0.24224746239665404</v>
      </c>
      <c r="M78" s="24">
        <f>VLOOKUP($C$8,Prijzen!$B$38:$T$41,'Business case'!M31,FALSE)</f>
        <v>0.24438394908196409</v>
      </c>
      <c r="N78" s="24">
        <f>VLOOKUP($C$8,Prijzen!$B$38:$T$41,'Business case'!N31,FALSE)</f>
        <v>0.24656316550098034</v>
      </c>
      <c r="O78" s="24">
        <f>VLOOKUP($C$8,Prijzen!$B$38:$T$41,'Business case'!O31,FALSE)</f>
        <v>0.2487859662483769</v>
      </c>
      <c r="P78" s="24">
        <f>VLOOKUP($C$8,Prijzen!$B$38:$T$41,'Business case'!P31,FALSE)</f>
        <v>0.25105322301072142</v>
      </c>
      <c r="Q78" s="24">
        <f>VLOOKUP($C$8,Prijzen!$B$38:$T$41,'Business case'!Q31,FALSE)</f>
        <v>0.25336582490831283</v>
      </c>
      <c r="R78" s="24">
        <f>VLOOKUP($C$8,Prijzen!$B$38:$T$41,'Business case'!R31,FALSE)</f>
        <v>0.25572467884385602</v>
      </c>
      <c r="S78" s="24">
        <f>VLOOKUP($C$8,Prijzen!$B$38:$T$41,'Business case'!S31,FALSE)</f>
        <v>0.23411230073066347</v>
      </c>
      <c r="T78" s="24">
        <f>VLOOKUP($C$8,Prijzen!$B$38:$T$41,'Business case'!T31,FALSE)</f>
        <v>0.23411230073066347</v>
      </c>
      <c r="U78" s="24">
        <f>VLOOKUP($C$8,Prijzen!$B$38:$T$41,'Business case'!U31,FALSE)</f>
        <v>0.23411230073066347</v>
      </c>
      <c r="V78" s="24">
        <f>VLOOKUP($C$8,Prijzen!$B$38:$T$41,'Business case'!V31,FALSE)</f>
        <v>0.23411230073066347</v>
      </c>
      <c r="W78" s="24">
        <f>VLOOKUP($C$8,Prijzen!$B$38:$T$41,'Business case'!W31,FALSE)</f>
        <v>0.23411230073066347</v>
      </c>
      <c r="X78" s="24">
        <f>VLOOKUP($C$8,Prijzen!$B$38:$T$41,'Business case'!X31,FALSE)</f>
        <v>0.23411230073066347</v>
      </c>
      <c r="Y78" s="24">
        <f>VLOOKUP($C$8,Prijzen!$B$38:$T$41,'Business case'!Y31,FALSE)</f>
        <v>0.23411230073066347</v>
      </c>
      <c r="Z78" s="24">
        <f>VLOOKUP($C$8,Prijzen!$B$38:$T$41,'Business case'!Z31,FALSE)</f>
        <v>0.23411230073066347</v>
      </c>
      <c r="AA78" s="24">
        <f>VLOOKUP($C$8,Prijzen!$B$38:$T$41,'Business case'!AA31,FALSE)</f>
        <v>0.23411230073066347</v>
      </c>
      <c r="AB78" s="24">
        <f>VLOOKUP($C$8,Prijzen!$B$38:$T$41,'Business case'!AB31,FALSE)</f>
        <v>0.23411230073066347</v>
      </c>
      <c r="AC78" s="24"/>
      <c r="AD78" s="24">
        <f t="shared" si="31"/>
        <v>6.5524287577541047</v>
      </c>
    </row>
    <row r="79" spans="1:30" outlineLevel="1" x14ac:dyDescent="0.25">
      <c r="A79" t="s">
        <v>76</v>
      </c>
      <c r="B79" s="28">
        <f t="shared" ref="B79" si="33">B78/(B77/9.5)</f>
        <v>2.3410347528157796</v>
      </c>
      <c r="C79" s="28">
        <f t="shared" ref="C79:AB79" si="34">C78/(C77/9.5)</f>
        <v>2.0942577376837876</v>
      </c>
      <c r="D79" s="28">
        <f t="shared" si="34"/>
        <v>1.9249309817396774</v>
      </c>
      <c r="E79" s="28">
        <f t="shared" si="34"/>
        <v>1.8502096601323152</v>
      </c>
      <c r="F79" s="28">
        <f t="shared" si="34"/>
        <v>1.7463684310289247</v>
      </c>
      <c r="G79" s="28">
        <f t="shared" si="34"/>
        <v>1.7035545122001428</v>
      </c>
      <c r="H79" s="28">
        <f t="shared" si="34"/>
        <v>1.7119500139126518</v>
      </c>
      <c r="I79" s="28">
        <f t="shared" si="34"/>
        <v>1.7039444684039335</v>
      </c>
      <c r="J79" s="28">
        <f t="shared" si="34"/>
        <v>1.6959903977012178</v>
      </c>
      <c r="K79" s="28">
        <f t="shared" si="34"/>
        <v>1.6880888512870105</v>
      </c>
      <c r="L79" s="28">
        <f t="shared" si="34"/>
        <v>1.6802408443721761</v>
      </c>
      <c r="M79" s="28">
        <f t="shared" si="34"/>
        <v>1.6724473576075609</v>
      </c>
      <c r="N79" s="28">
        <f t="shared" si="34"/>
        <v>1.6647093368390338</v>
      </c>
      <c r="O79" s="28">
        <f t="shared" si="34"/>
        <v>1.657027692905501</v>
      </c>
      <c r="P79" s="28">
        <f t="shared" si="34"/>
        <v>1.6494033014793619</v>
      </c>
      <c r="Q79" s="28">
        <f t="shared" si="34"/>
        <v>1.6418370029487988</v>
      </c>
      <c r="R79" s="28">
        <f t="shared" si="34"/>
        <v>1.6343296023412266</v>
      </c>
      <c r="S79" s="28">
        <f t="shared" si="34"/>
        <v>1.7119500139126518</v>
      </c>
      <c r="T79" s="28">
        <f t="shared" si="34"/>
        <v>1.7119500139126518</v>
      </c>
      <c r="U79" s="28">
        <f t="shared" si="34"/>
        <v>1.7119500139126518</v>
      </c>
      <c r="V79" s="28">
        <f t="shared" si="34"/>
        <v>1.7119500139126518</v>
      </c>
      <c r="W79" s="28">
        <f t="shared" si="34"/>
        <v>1.7119500139126518</v>
      </c>
      <c r="X79" s="28">
        <f t="shared" si="34"/>
        <v>1.7119500139126518</v>
      </c>
      <c r="Y79" s="28">
        <f t="shared" si="34"/>
        <v>1.7119500139126518</v>
      </c>
      <c r="Z79" s="28">
        <f t="shared" si="34"/>
        <v>1.7119500139126518</v>
      </c>
      <c r="AA79" s="28">
        <f t="shared" si="34"/>
        <v>1.7119500139126518</v>
      </c>
      <c r="AB79" s="28">
        <f t="shared" si="34"/>
        <v>1.7119500139126518</v>
      </c>
      <c r="AC79" s="28"/>
      <c r="AD79" s="28">
        <f t="shared" si="31"/>
        <v>47.179825084525589</v>
      </c>
    </row>
    <row r="80" spans="1:30" outlineLevel="1" x14ac:dyDescent="0.25">
      <c r="A80" t="s">
        <v>77</v>
      </c>
      <c r="B80" s="9">
        <f>IFERROR(B46*Prijzen!$B$83+('Business case'!B45-'Business case'!B46)*'Business case'!B77,"")</f>
        <v>0</v>
      </c>
      <c r="C80" s="9">
        <f>IFERROR(C46*Prijzen!$B$83+('Business case'!C45-'Business case'!C46)*'Business case'!C77,"")</f>
        <v>0</v>
      </c>
      <c r="D80" s="9">
        <f>IFERROR(D46*Prijzen!$B$83+('Business case'!D45-'Business case'!D46)*'Business case'!D77,"")</f>
        <v>0</v>
      </c>
      <c r="E80" s="9">
        <f>IFERROR(E46*Prijzen!$B$83+('Business case'!E45-'Business case'!E46)*'Business case'!E77,"")</f>
        <v>0</v>
      </c>
      <c r="F80" s="9">
        <f>IFERROR(F46*Prijzen!$B$83+('Business case'!F45-'Business case'!F46)*'Business case'!F77,"")</f>
        <v>0</v>
      </c>
      <c r="G80" s="9">
        <f>IFERROR(G46*Prijzen!$B$83+('Business case'!G45-'Business case'!G46)*'Business case'!G77,"")</f>
        <v>0</v>
      </c>
      <c r="H80" s="9">
        <f>IFERROR(H46*Prijzen!$B$83+('Business case'!H45-'Business case'!H46)*'Business case'!H77,"")</f>
        <v>0</v>
      </c>
      <c r="I80" s="9">
        <f>IFERROR(I46*Prijzen!$B$83+('Business case'!I45-'Business case'!I46)*'Business case'!I77,"")</f>
        <v>0</v>
      </c>
      <c r="J80" s="9">
        <f>IFERROR(J46*Prijzen!$B$83+('Business case'!J45-'Business case'!J46)*'Business case'!J77,"")</f>
        <v>0</v>
      </c>
      <c r="K80" s="9">
        <f>IFERROR(K46*Prijzen!$B$83+('Business case'!K45-'Business case'!K46)*'Business case'!K77,"")</f>
        <v>0</v>
      </c>
      <c r="L80" s="9">
        <f>IFERROR(L46*Prijzen!$B$83+('Business case'!L45-'Business case'!L46)*'Business case'!L77,"")</f>
        <v>0</v>
      </c>
      <c r="M80" s="9">
        <f>IFERROR(M46*Prijzen!$B$83+('Business case'!M45-'Business case'!M46)*'Business case'!M77,"")</f>
        <v>0</v>
      </c>
      <c r="N80" s="9">
        <f>IFERROR(N46*Prijzen!$B$83+('Business case'!N45-'Business case'!N46)*'Business case'!N77,"")</f>
        <v>0</v>
      </c>
      <c r="O80" s="9">
        <f>IFERROR(O46*Prijzen!$B$83+('Business case'!O45-'Business case'!O46)*'Business case'!O77,"")</f>
        <v>0</v>
      </c>
      <c r="P80" s="9">
        <f>IFERROR(P46*Prijzen!$B$83+('Business case'!P45-'Business case'!P46)*'Business case'!P77,"")</f>
        <v>0</v>
      </c>
      <c r="Q80" s="9">
        <f>IFERROR(Q46*Prijzen!$B$83+('Business case'!Q45-'Business case'!Q46)*'Business case'!Q77,"")</f>
        <v>0</v>
      </c>
      <c r="R80" s="9">
        <f>IFERROR(R46*Prijzen!$B$83+('Business case'!R45-'Business case'!R46)*'Business case'!R77,"")</f>
        <v>0</v>
      </c>
      <c r="S80" s="9">
        <f>IFERROR(S46*Prijzen!$B$83+('Business case'!S45-'Business case'!S46)*'Business case'!S77,"")</f>
        <v>0</v>
      </c>
      <c r="T80" s="9">
        <f>IFERROR(T46*Prijzen!$B$83+('Business case'!T45-'Business case'!T46)*'Business case'!T77,"")</f>
        <v>0</v>
      </c>
      <c r="U80" s="9">
        <f>IFERROR(U46*Prijzen!$B$83+('Business case'!U45-'Business case'!U46)*'Business case'!U77,"")</f>
        <v>0</v>
      </c>
      <c r="V80" s="9">
        <f>IFERROR(V46*Prijzen!$B$83+('Business case'!V45-'Business case'!V46)*'Business case'!V77,"")</f>
        <v>0</v>
      </c>
      <c r="W80" s="9">
        <f>IFERROR(W46*Prijzen!$B$83+('Business case'!W45-'Business case'!W46)*'Business case'!W77,"")</f>
        <v>0</v>
      </c>
      <c r="X80" s="9">
        <f>IFERROR(X46*Prijzen!$B$83+('Business case'!X45-'Business case'!X46)*'Business case'!X77,"")</f>
        <v>0</v>
      </c>
      <c r="Y80" s="9">
        <f>IFERROR(Y46*Prijzen!$B$83+('Business case'!Y45-'Business case'!Y46)*'Business case'!Y77,"")</f>
        <v>0</v>
      </c>
      <c r="Z80" s="9">
        <f>IFERROR(Z46*Prijzen!$B$83+('Business case'!Z45-'Business case'!Z46)*'Business case'!Z77,"")</f>
        <v>0</v>
      </c>
      <c r="AA80" s="9">
        <f>IFERROR(AA46*Prijzen!$B$83+('Business case'!AA45-'Business case'!AA46)*'Business case'!AA77,"")</f>
        <v>0</v>
      </c>
      <c r="AB80" s="9">
        <f>IFERROR(AB46*Prijzen!$B$83+('Business case'!AB45-'Business case'!AB46)*'Business case'!AB77,"")</f>
        <v>0</v>
      </c>
      <c r="AC80" s="9"/>
      <c r="AD80" s="9">
        <f t="shared" si="31"/>
        <v>0</v>
      </c>
    </row>
    <row r="81" spans="1:30" outlineLevel="1" x14ac:dyDescent="0.25">
      <c r="A81" t="s">
        <v>78</v>
      </c>
      <c r="B81" s="9">
        <f>IFERROR(B48*Prijzen!$C$83+('Business case'!B47-'Business case'!B48)*'Business case'!B78,"")</f>
        <v>0</v>
      </c>
      <c r="C81" s="9">
        <f>IFERROR(C48*Prijzen!$C$83+('Business case'!C47-'Business case'!C48)*'Business case'!C78,"")</f>
        <v>400.61323788515745</v>
      </c>
      <c r="D81" s="9">
        <f>IFERROR(D48*Prijzen!$C$83+('Business case'!D47-'Business case'!D48)*'Business case'!D78,"")</f>
        <v>361.52407442445576</v>
      </c>
      <c r="E81" s="9">
        <f>IFERROR(E48*Prijzen!$C$83+('Business case'!E47-'Business case'!E48)*'Business case'!E78,"")</f>
        <v>343.00370126358001</v>
      </c>
      <c r="F81" s="9">
        <f>IFERROR(F48*Prijzen!$C$83+('Business case'!F47-'Business case'!F48)*'Business case'!F78,"")</f>
        <v>326.28824894664365</v>
      </c>
      <c r="G81" s="9">
        <f>IFERROR(G48*Prijzen!$C$83+('Business case'!G47-'Business case'!G48)*'Business case'!G78,"")</f>
        <v>329.94719040574302</v>
      </c>
      <c r="H81" s="9">
        <f>IFERROR(H48*Prijzen!$C$83+('Business case'!H47-'Business case'!H48)*'Business case'!H78,"")</f>
        <v>339.94861908347815</v>
      </c>
      <c r="I81" s="9">
        <f>IFERROR(I48*Prijzen!$C$83+('Business case'!I47-'Business case'!I48)*'Business case'!I78,"")</f>
        <v>342.81470068952689</v>
      </c>
      <c r="J81" s="9">
        <f>IFERROR(J48*Prijzen!$C$83+('Business case'!J47-'Business case'!J48)*'Business case'!J78,"")</f>
        <v>345.73810392769661</v>
      </c>
      <c r="K81" s="9">
        <f>IFERROR(K48*Prijzen!$C$83+('Business case'!K47-'Business case'!K48)*'Business case'!K78,"")</f>
        <v>348.7199752306297</v>
      </c>
      <c r="L81" s="9">
        <f>IFERROR(L48*Prijzen!$C$83+('Business case'!L47-'Business case'!L48)*'Business case'!L78,"")</f>
        <v>351.76148395962144</v>
      </c>
      <c r="M81" s="9">
        <f>IFERROR(M48*Prijzen!$C$83+('Business case'!M47-'Business case'!M48)*'Business case'!M78,"")</f>
        <v>354.86382286319304</v>
      </c>
      <c r="N81" s="9">
        <f>IFERROR(N48*Prijzen!$C$83+('Business case'!N47-'Business case'!N48)*'Business case'!N78,"")</f>
        <v>358.02820854483605</v>
      </c>
      <c r="O81" s="9">
        <f>IFERROR(O48*Prijzen!$C$83+('Business case'!O47-'Business case'!O48)*'Business case'!O78,"")</f>
        <v>361.25588194011192</v>
      </c>
      <c r="P81" s="9">
        <f>IFERROR(P48*Prijzen!$C$83+('Business case'!P47-'Business case'!P48)*'Business case'!P78,"")</f>
        <v>364.5481088032933</v>
      </c>
      <c r="Q81" s="9">
        <f>IFERROR(Q48*Prijzen!$C$83+('Business case'!Q47-'Business case'!Q48)*'Business case'!Q78,"")</f>
        <v>367.90618020373836</v>
      </c>
      <c r="R81" s="9">
        <f>IFERROR(R48*Prijzen!$C$83+('Business case'!R47-'Business case'!R48)*'Business case'!R78,"")</f>
        <v>0</v>
      </c>
      <c r="S81" s="9">
        <f>IFERROR(S48*Prijzen!$C$83+('Business case'!S47-'Business case'!S48)*'Business case'!S78,"")</f>
        <v>0</v>
      </c>
      <c r="T81" s="9">
        <f>IFERROR(T48*Prijzen!$C$83+('Business case'!T47-'Business case'!T48)*'Business case'!T78,"")</f>
        <v>0</v>
      </c>
      <c r="U81" s="9">
        <f>IFERROR(U48*Prijzen!$C$83+('Business case'!U47-'Business case'!U48)*'Business case'!U78,"")</f>
        <v>0</v>
      </c>
      <c r="V81" s="9">
        <f>IFERROR(V48*Prijzen!$C$83+('Business case'!V47-'Business case'!V48)*'Business case'!V78,"")</f>
        <v>0</v>
      </c>
      <c r="W81" s="9">
        <f>IFERROR(W48*Prijzen!$C$83+('Business case'!W47-'Business case'!W48)*'Business case'!W78,"")</f>
        <v>0</v>
      </c>
      <c r="X81" s="9">
        <f>IFERROR(X48*Prijzen!$C$83+('Business case'!X47-'Business case'!X48)*'Business case'!X78,"")</f>
        <v>0</v>
      </c>
      <c r="Y81" s="9">
        <f>IFERROR(Y48*Prijzen!$C$83+('Business case'!Y47-'Business case'!Y48)*'Business case'!Y78,"")</f>
        <v>0</v>
      </c>
      <c r="Z81" s="9">
        <f>IFERROR(Z48*Prijzen!$C$83+('Business case'!Z47-'Business case'!Z48)*'Business case'!Z78,"")</f>
        <v>0</v>
      </c>
      <c r="AA81" s="9">
        <f>IFERROR(AA48*Prijzen!$C$83+('Business case'!AA47-'Business case'!AA48)*'Business case'!AA78,"")</f>
        <v>0</v>
      </c>
      <c r="AB81" s="9">
        <f>IFERROR(AB48*Prijzen!$C$83+('Business case'!AB47-'Business case'!AB48)*'Business case'!AB78,"")</f>
        <v>0</v>
      </c>
      <c r="AC81" s="9"/>
      <c r="AD81" s="9">
        <f t="shared" si="31"/>
        <v>5296.9615381717049</v>
      </c>
    </row>
    <row r="82" spans="1:30" outlineLevel="1" x14ac:dyDescent="0.25">
      <c r="A82" t="s">
        <v>70</v>
      </c>
      <c r="B82" s="9">
        <f>IF($C$4=100%,0,B39)</f>
        <v>0</v>
      </c>
      <c r="C82" s="9">
        <f t="shared" ref="C82:AB82" si="35">IF($C$4=100%,0,C39)</f>
        <v>0</v>
      </c>
      <c r="D82" s="9">
        <f>IF($C$4=100%,0,D39)</f>
        <v>0</v>
      </c>
      <c r="E82" s="9">
        <f t="shared" si="35"/>
        <v>0</v>
      </c>
      <c r="F82" s="9">
        <f t="shared" si="35"/>
        <v>0</v>
      </c>
      <c r="G82" s="9">
        <f t="shared" si="35"/>
        <v>0</v>
      </c>
      <c r="H82" s="9">
        <f t="shared" si="35"/>
        <v>0</v>
      </c>
      <c r="I82" s="9">
        <f t="shared" si="35"/>
        <v>0</v>
      </c>
      <c r="J82" s="9">
        <f t="shared" si="35"/>
        <v>0</v>
      </c>
      <c r="K82" s="9">
        <f t="shared" si="35"/>
        <v>0</v>
      </c>
      <c r="L82" s="9">
        <f t="shared" si="35"/>
        <v>0</v>
      </c>
      <c r="M82" s="9">
        <f t="shared" si="35"/>
        <v>0</v>
      </c>
      <c r="N82" s="9">
        <f t="shared" si="35"/>
        <v>0</v>
      </c>
      <c r="O82" s="9">
        <f t="shared" si="35"/>
        <v>0</v>
      </c>
      <c r="P82" s="9">
        <f t="shared" si="35"/>
        <v>0</v>
      </c>
      <c r="Q82" s="9">
        <f t="shared" si="35"/>
        <v>0</v>
      </c>
      <c r="R82" s="9">
        <f t="shared" si="35"/>
        <v>0</v>
      </c>
      <c r="S82" s="9">
        <f t="shared" si="35"/>
        <v>0</v>
      </c>
      <c r="T82" s="9">
        <f t="shared" si="35"/>
        <v>0</v>
      </c>
      <c r="U82" s="9">
        <f t="shared" si="35"/>
        <v>0</v>
      </c>
      <c r="V82" s="9">
        <f t="shared" si="35"/>
        <v>0</v>
      </c>
      <c r="W82" s="9">
        <f t="shared" si="35"/>
        <v>0</v>
      </c>
      <c r="X82" s="9">
        <f t="shared" si="35"/>
        <v>0</v>
      </c>
      <c r="Y82" s="9">
        <f t="shared" si="35"/>
        <v>0</v>
      </c>
      <c r="Z82" s="9">
        <f t="shared" si="35"/>
        <v>0</v>
      </c>
      <c r="AA82" s="9">
        <f t="shared" si="35"/>
        <v>0</v>
      </c>
      <c r="AB82" s="9">
        <f t="shared" si="35"/>
        <v>0</v>
      </c>
      <c r="AC82" s="9"/>
      <c r="AD82" s="9">
        <f t="shared" si="31"/>
        <v>0</v>
      </c>
    </row>
    <row r="83" spans="1:30" outlineLevel="1" x14ac:dyDescent="0.25">
      <c r="A83" t="s">
        <v>21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>
        <f t="shared" si="31"/>
        <v>0</v>
      </c>
    </row>
    <row r="84" spans="1:30" outlineLevel="1" x14ac:dyDescent="0.25">
      <c r="A84" t="s">
        <v>71</v>
      </c>
      <c r="B84" s="9">
        <f>IF(B33="JA",IF($C$4="100"%,0,Prijzen!D78),0)</f>
        <v>0</v>
      </c>
      <c r="C84" s="9">
        <f>IF(C33="JA",IF($C$4="100"%,0,Prijzen!E78),0)</f>
        <v>0</v>
      </c>
      <c r="D84" s="9">
        <f>IF(D33="JA",IF($C$4="100"%,0,Prijzen!F78),0)</f>
        <v>0</v>
      </c>
      <c r="E84" s="9">
        <f>IF(E33="JA",IF($C$4="100"%,0,Prijzen!G78),0)</f>
        <v>0</v>
      </c>
      <c r="F84" s="9">
        <f>IF(F33="JA",IF($C$4="100"%,0,Prijzen!H78),0)</f>
        <v>0</v>
      </c>
      <c r="G84" s="9">
        <f>IF(G33="JA",IF($C$4="100"%,0,Prijzen!I78),0)</f>
        <v>0</v>
      </c>
      <c r="H84" s="9">
        <f>IF(H33="JA",IF($C$4="100"%,0,Prijzen!J78),0)</f>
        <v>0</v>
      </c>
      <c r="I84" s="9">
        <f>IF(I33="JA",IF($C$4="100"%,0,Prijzen!K78),0)</f>
        <v>0</v>
      </c>
      <c r="J84" s="9">
        <f>IF(J33="JA",IF($C$4="100"%,0,Prijzen!L78),0)</f>
        <v>0</v>
      </c>
      <c r="K84" s="9">
        <f>IF(K33="JA",IF($C$4="100"%,0,Prijzen!M78),0)</f>
        <v>0</v>
      </c>
      <c r="L84" s="9">
        <f>IF(L33="JA",IF($C$4="100"%,0,Prijzen!N78),0)</f>
        <v>0</v>
      </c>
      <c r="M84" s="9">
        <f>IF(M33="JA",IF($C$4="100"%,0,Prijzen!O78),0)</f>
        <v>0</v>
      </c>
      <c r="N84" s="9">
        <f>IF(N33="JA",IF($C$4="100"%,0,Prijzen!P78),0)</f>
        <v>0</v>
      </c>
      <c r="O84" s="9">
        <f>IF(O33="JA",IF($C$4="100"%,0,Prijzen!Q78),0)</f>
        <v>0</v>
      </c>
      <c r="P84" s="9">
        <f>IF(P33="JA",IF($C$4="100"%,0,Prijzen!R78),0)</f>
        <v>0</v>
      </c>
      <c r="Q84" s="9">
        <f>IF(Q33="JA",IF($C$4="100"%,0,Prijzen!S78),0)</f>
        <v>0</v>
      </c>
      <c r="R84" s="9">
        <f>IF(R33="JA",IF($C$4="100"%,0,Prijzen!T78),0)</f>
        <v>0</v>
      </c>
      <c r="S84" s="9">
        <f>IF(S33="JA",IF($C$4="100"%,0,Prijzen!U78),0)</f>
        <v>0</v>
      </c>
      <c r="T84" s="9">
        <f>IF(T33="JA",IF($C$4="100"%,0,Prijzen!V78),0)</f>
        <v>0</v>
      </c>
      <c r="U84" s="9">
        <f>IF(U33="JA",IF($C$4="100"%,0,Prijzen!W78),0)</f>
        <v>0</v>
      </c>
      <c r="V84" s="9">
        <f>IF(V33="JA",IF($C$4="100"%,0,Prijzen!X78),0)</f>
        <v>0</v>
      </c>
      <c r="W84" s="9">
        <f>IF(W33="JA",IF($C$4="100"%,0,Prijzen!Y78),0)</f>
        <v>0</v>
      </c>
      <c r="X84" s="9">
        <f>IF(X33="JA",IF($C$4="100"%,0,Prijzen!Z78),0)</f>
        <v>0</v>
      </c>
      <c r="Y84" s="9">
        <f>IF(Y33="JA",IF($C$4="100"%,0,Prijzen!AA78),0)</f>
        <v>0</v>
      </c>
      <c r="Z84" s="9">
        <f>IF(Z33="JA",IF($C$4="100"%,0,Prijzen!AB78),0)</f>
        <v>0</v>
      </c>
      <c r="AA84" s="9">
        <f>IF(AA33="JA",IF($C$4="100"%,0,Prijzen!AC78),0)</f>
        <v>0</v>
      </c>
      <c r="AB84" s="9">
        <f>IF(AB33="JA",IF($C$4="100"%,0,Prijzen!AD78),0)</f>
        <v>0</v>
      </c>
      <c r="AC84" s="9"/>
      <c r="AD84" s="9">
        <f t="shared" si="31"/>
        <v>0</v>
      </c>
    </row>
    <row r="85" spans="1:30" outlineLevel="1" x14ac:dyDescent="0.25">
      <c r="A85" t="s">
        <v>79</v>
      </c>
      <c r="B85" s="9">
        <f>IF(B$33="JA",-PMT($C$17,15,$C$15,0,1),0)</f>
        <v>0</v>
      </c>
      <c r="C85" s="9">
        <f>IF(C$33="JA",-PMT($D$17,15,$D$15,0,1),0)</f>
        <v>1471.4449520460309</v>
      </c>
      <c r="D85" s="9">
        <f>IF(D$33="JA",-PMT($D$17,15,$D$15,0,1),0)</f>
        <v>1471.4449520460309</v>
      </c>
      <c r="E85" s="9">
        <f t="shared" ref="E85:AB85" si="36">IF(E$33="JA",-PMT($D$17,15,$D$15,0,1),0)</f>
        <v>1471.4449520460309</v>
      </c>
      <c r="F85" s="9">
        <f t="shared" si="36"/>
        <v>1471.4449520460309</v>
      </c>
      <c r="G85" s="9">
        <f t="shared" si="36"/>
        <v>1471.4449520460309</v>
      </c>
      <c r="H85" s="9">
        <f t="shared" si="36"/>
        <v>1471.4449520460309</v>
      </c>
      <c r="I85" s="9">
        <f t="shared" si="36"/>
        <v>1471.4449520460309</v>
      </c>
      <c r="J85" s="9">
        <f t="shared" si="36"/>
        <v>1471.4449520460309</v>
      </c>
      <c r="K85" s="9">
        <f t="shared" si="36"/>
        <v>1471.4449520460309</v>
      </c>
      <c r="L85" s="9">
        <f t="shared" si="36"/>
        <v>1471.4449520460309</v>
      </c>
      <c r="M85" s="9">
        <f t="shared" si="36"/>
        <v>1471.4449520460309</v>
      </c>
      <c r="N85" s="9">
        <f t="shared" si="36"/>
        <v>1471.4449520460309</v>
      </c>
      <c r="O85" s="9">
        <f t="shared" si="36"/>
        <v>1471.4449520460309</v>
      </c>
      <c r="P85" s="9">
        <f t="shared" si="36"/>
        <v>1471.4449520460309</v>
      </c>
      <c r="Q85" s="9">
        <f t="shared" si="36"/>
        <v>1471.4449520460309</v>
      </c>
      <c r="R85" s="9">
        <f t="shared" si="36"/>
        <v>0</v>
      </c>
      <c r="S85" s="9">
        <f t="shared" si="36"/>
        <v>0</v>
      </c>
      <c r="T85" s="9">
        <f t="shared" si="36"/>
        <v>0</v>
      </c>
      <c r="U85" s="9">
        <f t="shared" si="36"/>
        <v>0</v>
      </c>
      <c r="V85" s="9">
        <f t="shared" si="36"/>
        <v>0</v>
      </c>
      <c r="W85" s="9">
        <f t="shared" si="36"/>
        <v>0</v>
      </c>
      <c r="X85" s="9">
        <f t="shared" si="36"/>
        <v>0</v>
      </c>
      <c r="Y85" s="9">
        <f t="shared" si="36"/>
        <v>0</v>
      </c>
      <c r="Z85" s="9">
        <f t="shared" si="36"/>
        <v>0</v>
      </c>
      <c r="AA85" s="9">
        <f t="shared" si="36"/>
        <v>0</v>
      </c>
      <c r="AB85" s="9">
        <f t="shared" si="36"/>
        <v>0</v>
      </c>
      <c r="AC85" s="9"/>
      <c r="AD85" s="9">
        <f t="shared" si="31"/>
        <v>22071.674280690459</v>
      </c>
    </row>
    <row r="86" spans="1:30" outlineLevel="1" x14ac:dyDescent="0.25">
      <c r="A86" t="s">
        <v>27</v>
      </c>
      <c r="B86" s="9">
        <f>IF(B33="JA",Kengetallen!$B$62*(1+Kengetallen!$B$2)^'Business case'!B$32,0)</f>
        <v>0</v>
      </c>
      <c r="C86" s="9">
        <f>IF(C33="JA",Kengetallen!$B$62*(1+Kengetallen!$B$2)^'Business case'!C$32,0)</f>
        <v>153</v>
      </c>
      <c r="D86" s="9">
        <f>IF(D33="JA",Kengetallen!$B$62*(1+Kengetallen!$B$2)^'Business case'!D$32,0)</f>
        <v>156.06</v>
      </c>
      <c r="E86" s="9">
        <f>IF(E33="JA",Kengetallen!$B$62*(1+Kengetallen!$B$2)^'Business case'!E$32,0)</f>
        <v>159.18119999999999</v>
      </c>
      <c r="F86" s="9">
        <f>IF(F33="JA",Kengetallen!$B$62*(1+Kengetallen!$B$2)^'Business case'!F$32,0)</f>
        <v>162.364824</v>
      </c>
      <c r="G86" s="9">
        <f>IF(G33="JA",Kengetallen!$B$62*(1+Kengetallen!$B$2)^'Business case'!G$32,0)</f>
        <v>165.61212048000002</v>
      </c>
      <c r="H86" s="9">
        <f>IF(H33="JA",Kengetallen!$B$62*(1+Kengetallen!$B$2)^'Business case'!H$32,0)</f>
        <v>168.92436288960002</v>
      </c>
      <c r="I86" s="9">
        <f>IF(I33="JA",Kengetallen!$B$62*(1+Kengetallen!$B$2)^'Business case'!I$32,0)</f>
        <v>172.30285014739198</v>
      </c>
      <c r="J86" s="9">
        <f>IF(J33="JA",Kengetallen!$B$62*(1+Kengetallen!$B$2)^'Business case'!J$32,0)</f>
        <v>175.74890715033982</v>
      </c>
      <c r="K86" s="9">
        <f>IF(K33="JA",Kengetallen!$B$62*(1+Kengetallen!$B$2)^'Business case'!K$32,0)</f>
        <v>179.26388529334662</v>
      </c>
      <c r="L86" s="9">
        <f>IF(L33="JA",Kengetallen!$B$62*(1+Kengetallen!$B$2)^'Business case'!L$32,0)</f>
        <v>182.84916299921358</v>
      </c>
      <c r="M86" s="9">
        <f>IF(M33="JA",Kengetallen!$B$62*(1+Kengetallen!$B$2)^'Business case'!M$32,0)</f>
        <v>186.50614625919781</v>
      </c>
      <c r="N86" s="9">
        <f>IF(N33="JA",Kengetallen!$B$62*(1+Kengetallen!$B$2)^'Business case'!N$32,0)</f>
        <v>190.2362691843818</v>
      </c>
      <c r="O86" s="9">
        <f>IF(O33="JA",Kengetallen!$B$62*(1+Kengetallen!$B$2)^'Business case'!O$32,0)</f>
        <v>194.04099456806941</v>
      </c>
      <c r="P86" s="9">
        <f>IF(P33="JA",Kengetallen!$B$62*(1+Kengetallen!$B$2)^'Business case'!P$32,0)</f>
        <v>197.92181445943083</v>
      </c>
      <c r="Q86" s="9">
        <f>IF(Q33="JA",Kengetallen!$B$62*(1+Kengetallen!$B$2)^'Business case'!Q$32,0)</f>
        <v>201.88025074861937</v>
      </c>
      <c r="R86" s="9">
        <f>IF(R33="JA",Kengetallen!$B$62*(1+Kengetallen!$B$2)^'Business case'!R$32,0)</f>
        <v>0</v>
      </c>
      <c r="S86" s="9">
        <f>IF(S33="JA",Kengetallen!$B$62*(1+Kengetallen!$B$2)^'Business case'!S$32,0)</f>
        <v>0</v>
      </c>
      <c r="T86" s="9">
        <f>IF(T33="JA",Kengetallen!$B$62*(1+Kengetallen!$B$2)^'Business case'!T$32,0)</f>
        <v>0</v>
      </c>
      <c r="U86" s="9">
        <f>IF(U33="JA",Kengetallen!$B$62*(1+Kengetallen!$B$2)^'Business case'!U$32,0)</f>
        <v>0</v>
      </c>
      <c r="V86" s="9">
        <f>IF(V33="JA",Kengetallen!$B$62*(1+Kengetallen!$B$2)^'Business case'!V$32,0)</f>
        <v>0</v>
      </c>
      <c r="W86" s="9">
        <f>IF(W33="JA",Kengetallen!$B$62*(1+Kengetallen!$B$2)^'Business case'!W$32,0)</f>
        <v>0</v>
      </c>
      <c r="X86" s="9">
        <f>IF(X33="JA",Kengetallen!$B$62*(1+Kengetallen!$B$2)^'Business case'!X$32,0)</f>
        <v>0</v>
      </c>
      <c r="Y86" s="9">
        <f>IF(Y33="JA",Kengetallen!$B$62*(1+Kengetallen!$B$2)^'Business case'!Y$32,0)</f>
        <v>0</v>
      </c>
      <c r="Z86" s="9">
        <f>IF(Z33="JA",Kengetallen!$B$62*(1+Kengetallen!$B$2)^'Business case'!Z$32,0)</f>
        <v>0</v>
      </c>
      <c r="AA86" s="9">
        <f>IF(AA33="JA",Kengetallen!$B$62*(1+Kengetallen!$B$2)^'Business case'!AA$32,0)</f>
        <v>0</v>
      </c>
      <c r="AB86" s="9">
        <f>IF(AB33="JA",Kengetallen!$B$62*(1+Kengetallen!$B$2)^'Business case'!AB$32,0)</f>
        <v>0</v>
      </c>
      <c r="AC86" s="9"/>
      <c r="AD86" s="9">
        <f t="shared" si="31"/>
        <v>2645.8927881795912</v>
      </c>
    </row>
    <row r="87" spans="1:30" outlineLevel="1" x14ac:dyDescent="0.25">
      <c r="A87" t="s">
        <v>80</v>
      </c>
      <c r="B87" s="25">
        <f>IF(B33="JA",($D$19+$C$7)*(1+Kengetallen!$B$19)^B32,0)</f>
        <v>0</v>
      </c>
      <c r="C87" s="25">
        <f>IF(C33="JA",($D$19+$C$7)*(1+Kengetallen!$B$19)^C32,0)</f>
        <v>1441.9104750000001</v>
      </c>
      <c r="D87" s="25">
        <f>IF(D33="JA",($D$19+$C$7)*(1+Kengetallen!$B$19)^D32,0)</f>
        <v>1431.817101675</v>
      </c>
      <c r="E87" s="25">
        <f>IF(E33="JA",($D$19+$C$7)*(1+Kengetallen!$B$19)^E32,0)</f>
        <v>1421.7943819632749</v>
      </c>
      <c r="F87" s="25">
        <f>IF(F33="JA",($D$19+$C$7)*(1+Kengetallen!$B$19)^F32,0)</f>
        <v>1411.8418212895319</v>
      </c>
      <c r="G87" s="25">
        <f>IF(G33="JA",($D$19+$C$7)*(1+Kengetallen!$B$19)^G32,0)</f>
        <v>1401.9589285405052</v>
      </c>
      <c r="H87" s="25">
        <f>IF(H33="JA",($D$19+$C$7)*(1+Kengetallen!$B$19)^H32,0)</f>
        <v>1392.1452160407216</v>
      </c>
      <c r="I87" s="25">
        <f>IF(I33="JA",($D$19+$C$7)*(1+Kengetallen!$B$19)^I32,0)</f>
        <v>1382.4001995284366</v>
      </c>
      <c r="J87" s="25">
        <f>IF(J33="JA",($D$19+$C$7)*(1+Kengetallen!$B$19)^J32,0)</f>
        <v>1372.7233981317374</v>
      </c>
      <c r="K87" s="25">
        <f>IF(K33="JA",($D$19+$C$7)*(1+Kengetallen!$B$19)^K32,0)</f>
        <v>1363.1143343448152</v>
      </c>
      <c r="L87" s="25">
        <f>IF(L33="JA",($D$19+$C$7)*(1+Kengetallen!$B$19)^L32,0)</f>
        <v>1353.5725340044016</v>
      </c>
      <c r="M87" s="25">
        <f>IF(M33="JA",($D$19+$C$7)*(1+Kengetallen!$B$19)^M32,0)</f>
        <v>1344.0975262663706</v>
      </c>
      <c r="N87" s="25">
        <f>IF(N33="JA",($D$19+$C$7)*(1+Kengetallen!$B$19)^N32,0)</f>
        <v>1334.688843582506</v>
      </c>
      <c r="O87" s="25">
        <f>IF(O33="JA",($D$19+$C$7)*(1+Kengetallen!$B$19)^O32,0)</f>
        <v>1325.3460216774286</v>
      </c>
      <c r="P87" s="25">
        <f>IF(P33="JA",($D$19+$C$7)*(1+Kengetallen!$B$19)^P32,0)</f>
        <v>1316.0685995256865</v>
      </c>
      <c r="Q87" s="25">
        <f>IF(Q33="JA",($D$19+$C$7)*(1+Kengetallen!$B$19)^Q32,0)</f>
        <v>1306.8561193290066</v>
      </c>
      <c r="R87" s="25">
        <f>IF(R33="JA",($D$19+$C$7)*(1+Kengetallen!$B$19)^R32,0)</f>
        <v>0</v>
      </c>
      <c r="S87" s="25">
        <f>IF(S33="JA",($D$19+$C$7)*(1+Kengetallen!$B$19)^S32,0)</f>
        <v>0</v>
      </c>
      <c r="T87" s="25">
        <f>IF(T33="JA",($D$19+$C$7)*(1+Kengetallen!$B$19)^T32,0)</f>
        <v>0</v>
      </c>
      <c r="U87" s="25">
        <f>IF(U33="JA",($D$19+$C$7)*(1+Kengetallen!$B$19)^U32,0)</f>
        <v>0</v>
      </c>
      <c r="V87" s="25">
        <f>IF(V33="JA",($D$19+$C$7)*(1+Kengetallen!$B$19)^V32,0)</f>
        <v>0</v>
      </c>
      <c r="W87" s="25">
        <f>IF(W33="JA",($D$19+$C$7)*(1+Kengetallen!$B$19)^W32,0)</f>
        <v>0</v>
      </c>
      <c r="X87" s="25">
        <f>IF(X33="JA",($D$19+$C$7)*(1+Kengetallen!$B$19)^X32,0)</f>
        <v>0</v>
      </c>
      <c r="Y87" s="25">
        <f>IF(Y33="JA",($D$19+$C$7)*(1+Kengetallen!$B$19)^Y32,0)</f>
        <v>0</v>
      </c>
      <c r="Z87" s="25">
        <f>IF(Z33="JA",($D$19+$C$7)*(1+Kengetallen!$B$19)^Z32,0)</f>
        <v>0</v>
      </c>
      <c r="AA87" s="25">
        <f>IF(AA33="JA",($D$19+$C$7)*(1+Kengetallen!$B$19)^AA32,0)</f>
        <v>0</v>
      </c>
      <c r="AB87" s="25">
        <f>IF(AB33="JA",($D$19+$C$7)*(1+Kengetallen!$B$19)^AB32,0)</f>
        <v>0</v>
      </c>
      <c r="AC87" s="25"/>
      <c r="AD87" s="25">
        <f t="shared" si="31"/>
        <v>20600.335500899422</v>
      </c>
    </row>
    <row r="88" spans="1:30" outlineLevel="1" x14ac:dyDescent="0.25">
      <c r="A88" t="s">
        <v>81</v>
      </c>
      <c r="B88" s="25">
        <f>IF(B33="JA",B87*$D$16,0)</f>
        <v>0</v>
      </c>
      <c r="C88" s="25">
        <f t="shared" ref="C88:AB88" si="37">IF(C33="JA",C87*$D$16,0)</f>
        <v>576.7641900000001</v>
      </c>
      <c r="D88" s="25">
        <f t="shared" si="37"/>
        <v>572.72684067</v>
      </c>
      <c r="E88" s="25">
        <f t="shared" si="37"/>
        <v>568.71775278530993</v>
      </c>
      <c r="F88" s="25">
        <f t="shared" si="37"/>
        <v>564.73672851581284</v>
      </c>
      <c r="G88" s="25">
        <f t="shared" si="37"/>
        <v>560.78357141620211</v>
      </c>
      <c r="H88" s="25">
        <f t="shared" si="37"/>
        <v>556.85808641628864</v>
      </c>
      <c r="I88" s="25">
        <f t="shared" si="37"/>
        <v>552.96007981137461</v>
      </c>
      <c r="J88" s="25">
        <f t="shared" si="37"/>
        <v>549.08935925269498</v>
      </c>
      <c r="K88" s="25">
        <f t="shared" si="37"/>
        <v>545.24573373792612</v>
      </c>
      <c r="L88" s="25">
        <f t="shared" si="37"/>
        <v>541.42901360176063</v>
      </c>
      <c r="M88" s="25">
        <f t="shared" si="37"/>
        <v>537.63901050654829</v>
      </c>
      <c r="N88" s="25">
        <f t="shared" si="37"/>
        <v>533.87553743300248</v>
      </c>
      <c r="O88" s="25">
        <f t="shared" si="37"/>
        <v>530.13840867097144</v>
      </c>
      <c r="P88" s="25">
        <f t="shared" si="37"/>
        <v>526.42743981027468</v>
      </c>
      <c r="Q88" s="25">
        <f t="shared" si="37"/>
        <v>522.74244773160262</v>
      </c>
      <c r="R88" s="25">
        <f t="shared" si="37"/>
        <v>0</v>
      </c>
      <c r="S88" s="25">
        <f t="shared" si="37"/>
        <v>0</v>
      </c>
      <c r="T88" s="25">
        <f t="shared" si="37"/>
        <v>0</v>
      </c>
      <c r="U88" s="25">
        <f t="shared" si="37"/>
        <v>0</v>
      </c>
      <c r="V88" s="25">
        <f t="shared" si="37"/>
        <v>0</v>
      </c>
      <c r="W88" s="25">
        <f t="shared" si="37"/>
        <v>0</v>
      </c>
      <c r="X88" s="25">
        <f t="shared" si="37"/>
        <v>0</v>
      </c>
      <c r="Y88" s="25">
        <f t="shared" si="37"/>
        <v>0</v>
      </c>
      <c r="Z88" s="25">
        <f t="shared" si="37"/>
        <v>0</v>
      </c>
      <c r="AA88" s="25">
        <f t="shared" si="37"/>
        <v>0</v>
      </c>
      <c r="AB88" s="25">
        <f t="shared" si="37"/>
        <v>0</v>
      </c>
      <c r="AC88" s="25"/>
      <c r="AD88" s="25">
        <f t="shared" si="31"/>
        <v>8240.1342003597692</v>
      </c>
    </row>
    <row r="89" spans="1:30" outlineLevel="1" x14ac:dyDescent="0.25">
      <c r="A89" t="s">
        <v>82</v>
      </c>
      <c r="B89" s="25">
        <f>IF(B33="JA",($C$2+B75-B88)*Prijzen!D62,0)</f>
        <v>0</v>
      </c>
      <c r="C89" s="25">
        <f>IF(C33="JA",($C$2+C75-C88)*Prijzen!E62,0)</f>
        <v>2800.1989183999999</v>
      </c>
      <c r="D89" s="25">
        <f>IF(D33="JA",($C$2+D75-D88)*Prijzen!F62,0)</f>
        <v>2802.7828219712001</v>
      </c>
      <c r="E89" s="25">
        <f>IF(E33="JA",($C$2+E75-E88)*Prijzen!G62,0)</f>
        <v>2410.8464859680794</v>
      </c>
      <c r="F89" s="25">
        <f>IF(F33="JA",($C$2+F75-F88)*Prijzen!H62,0)</f>
        <v>2018.1756048827262</v>
      </c>
      <c r="G89" s="25">
        <f>IF(G33="JA",($C$2+G75-G88)*Prijzen!I62,0)</f>
        <v>1624.7778285760053</v>
      </c>
      <c r="H89" s="25">
        <f>IF(H33="JA",($C$2+H75-H88)*Prijzen!J62,0)</f>
        <v>1230.6607358034391</v>
      </c>
      <c r="I89" s="25">
        <f>IF(I33="JA",($C$2+I75-I88)*Prijzen!K62,0)</f>
        <v>0</v>
      </c>
      <c r="J89" s="25">
        <f>IF(J33="JA",($C$2+J75-J88)*Prijzen!L62,0)</f>
        <v>0</v>
      </c>
      <c r="K89" s="25">
        <f>IF(K33="JA",($C$2+K75-K88)*Prijzen!M62,0)</f>
        <v>0</v>
      </c>
      <c r="L89" s="25">
        <f>IF(L33="JA",($C$2+L75-L88)*Prijzen!N62,0)</f>
        <v>0</v>
      </c>
      <c r="M89" s="25">
        <f>IF(M33="JA",($C$2+M75-M88)*Prijzen!O62,0)</f>
        <v>0</v>
      </c>
      <c r="N89" s="25">
        <f>IF(N33="JA",($C$2+N75-N88)*Prijzen!P62,0)</f>
        <v>0</v>
      </c>
      <c r="O89" s="25">
        <f>IF(O33="JA",($C$2+O75-O88)*Prijzen!Q62,0)</f>
        <v>0</v>
      </c>
      <c r="P89" s="25">
        <f>IF(P33="JA",($C$2+P75-P88)*Prijzen!R62,0)</f>
        <v>0</v>
      </c>
      <c r="Q89" s="25">
        <f>IF(Q33="JA",($C$2+Q75-Q88)*Prijzen!S62,0)</f>
        <v>0</v>
      </c>
      <c r="R89" s="25">
        <f>IF(R33="JA",($C$2+R75-R88)*Prijzen!T62,0)</f>
        <v>0</v>
      </c>
      <c r="S89" s="25">
        <f>IF(S33="JA",($C$2+S75-S88)*Prijzen!U62,0)</f>
        <v>0</v>
      </c>
      <c r="T89" s="25">
        <f>IF(T33="JA",($C$2+T75-T88)*Prijzen!V62,0)</f>
        <v>0</v>
      </c>
      <c r="U89" s="25">
        <f>IF(U33="JA",($C$2+U75-U88)*Prijzen!W62,0)</f>
        <v>0</v>
      </c>
      <c r="V89" s="25">
        <f>IF(V33="JA",($C$2+V75-V88)*Prijzen!X62,0)</f>
        <v>0</v>
      </c>
      <c r="W89" s="25">
        <f>IF(W33="JA",($C$2+W75-W88)*Prijzen!Y62,0)</f>
        <v>0</v>
      </c>
      <c r="X89" s="25">
        <f>IF(X33="JA",($C$2+X75-X88)*Prijzen!Z62,0)</f>
        <v>0</v>
      </c>
      <c r="Y89" s="25">
        <f>IF(Y33="JA",($C$2+Y75-Y88)*Prijzen!AA62,0)</f>
        <v>0</v>
      </c>
      <c r="Z89" s="25">
        <f>IF(Z33="JA",($C$2+Z75-Z88)*Prijzen!AB62,0)</f>
        <v>0</v>
      </c>
      <c r="AA89" s="25">
        <f>IF(AA33="JA",($C$2+AA75-AA88)*Prijzen!AC62,0)</f>
        <v>0</v>
      </c>
      <c r="AB89" s="25">
        <f>IF(AB33="JA",($C$2+AB75-AB88)*Prijzen!AD62,0)</f>
        <v>0</v>
      </c>
      <c r="AC89" s="25"/>
      <c r="AD89" s="25">
        <f t="shared" si="31"/>
        <v>12887.442395601451</v>
      </c>
    </row>
    <row r="90" spans="1:30" outlineLevel="1" x14ac:dyDescent="0.25">
      <c r="A90" t="s">
        <v>83</v>
      </c>
      <c r="B90" s="25">
        <f>IF(B33="JA",MIN((B87-B88),B89),0)</f>
        <v>0</v>
      </c>
      <c r="C90" s="25">
        <f t="shared" ref="C90:AB90" si="38">IF(C33="JA",MIN((C87-C88),C89),0)</f>
        <v>865.14628500000003</v>
      </c>
      <c r="D90" s="25">
        <f t="shared" si="38"/>
        <v>859.090261005</v>
      </c>
      <c r="E90" s="25">
        <f t="shared" si="38"/>
        <v>853.07662917796495</v>
      </c>
      <c r="F90" s="25">
        <f t="shared" si="38"/>
        <v>847.10509277371909</v>
      </c>
      <c r="G90" s="25">
        <f t="shared" si="38"/>
        <v>841.1753571243031</v>
      </c>
      <c r="H90" s="25">
        <f t="shared" si="38"/>
        <v>835.28712962443296</v>
      </c>
      <c r="I90" s="25">
        <f t="shared" si="38"/>
        <v>0</v>
      </c>
      <c r="J90" s="25">
        <f t="shared" si="38"/>
        <v>0</v>
      </c>
      <c r="K90" s="25">
        <f t="shared" si="38"/>
        <v>0</v>
      </c>
      <c r="L90" s="25">
        <f t="shared" si="38"/>
        <v>0</v>
      </c>
      <c r="M90" s="25">
        <f t="shared" si="38"/>
        <v>0</v>
      </c>
      <c r="N90" s="25">
        <f t="shared" si="38"/>
        <v>0</v>
      </c>
      <c r="O90" s="25">
        <f t="shared" si="38"/>
        <v>0</v>
      </c>
      <c r="P90" s="25">
        <f t="shared" si="38"/>
        <v>0</v>
      </c>
      <c r="Q90" s="25">
        <f t="shared" si="38"/>
        <v>0</v>
      </c>
      <c r="R90" s="25">
        <f t="shared" si="38"/>
        <v>0</v>
      </c>
      <c r="S90" s="25">
        <f t="shared" si="38"/>
        <v>0</v>
      </c>
      <c r="T90" s="25">
        <f t="shared" si="38"/>
        <v>0</v>
      </c>
      <c r="U90" s="25">
        <f t="shared" si="38"/>
        <v>0</v>
      </c>
      <c r="V90" s="25">
        <f t="shared" si="38"/>
        <v>0</v>
      </c>
      <c r="W90" s="25">
        <f t="shared" si="38"/>
        <v>0</v>
      </c>
      <c r="X90" s="25">
        <f t="shared" si="38"/>
        <v>0</v>
      </c>
      <c r="Y90" s="25">
        <f t="shared" si="38"/>
        <v>0</v>
      </c>
      <c r="Z90" s="25">
        <f t="shared" si="38"/>
        <v>0</v>
      </c>
      <c r="AA90" s="25">
        <f t="shared" si="38"/>
        <v>0</v>
      </c>
      <c r="AB90" s="25">
        <f t="shared" si="38"/>
        <v>0</v>
      </c>
      <c r="AC90" s="25"/>
      <c r="AD90" s="25">
        <f t="shared" si="31"/>
        <v>5100.8807547054203</v>
      </c>
    </row>
    <row r="91" spans="1:30" outlineLevel="1" x14ac:dyDescent="0.25">
      <c r="A91" t="s">
        <v>84</v>
      </c>
      <c r="B91" s="25">
        <f>IF(B33="JA",B87-B88-B90,0)</f>
        <v>0</v>
      </c>
      <c r="C91" s="25">
        <f t="shared" ref="C91:AB91" si="39">IF(C33="JA",C87-C88-C90,0)</f>
        <v>0</v>
      </c>
      <c r="D91" s="25">
        <f t="shared" si="39"/>
        <v>0</v>
      </c>
      <c r="E91" s="25">
        <f t="shared" si="39"/>
        <v>0</v>
      </c>
      <c r="F91" s="25">
        <f t="shared" si="39"/>
        <v>0</v>
      </c>
      <c r="G91" s="25">
        <f t="shared" si="39"/>
        <v>0</v>
      </c>
      <c r="H91" s="25">
        <f t="shared" si="39"/>
        <v>0</v>
      </c>
      <c r="I91" s="25">
        <f t="shared" si="39"/>
        <v>829.44011971706198</v>
      </c>
      <c r="J91" s="25">
        <f t="shared" si="39"/>
        <v>823.63403887904246</v>
      </c>
      <c r="K91" s="25">
        <f t="shared" si="39"/>
        <v>817.86860060688912</v>
      </c>
      <c r="L91" s="25">
        <f t="shared" si="39"/>
        <v>812.143520402641</v>
      </c>
      <c r="M91" s="25">
        <f t="shared" si="39"/>
        <v>806.45851575982226</v>
      </c>
      <c r="N91" s="25">
        <f t="shared" si="39"/>
        <v>800.81330614950355</v>
      </c>
      <c r="O91" s="25">
        <f t="shared" si="39"/>
        <v>795.20761300645711</v>
      </c>
      <c r="P91" s="25">
        <f t="shared" si="39"/>
        <v>789.64115971541185</v>
      </c>
      <c r="Q91" s="25">
        <f t="shared" si="39"/>
        <v>784.11367159740394</v>
      </c>
      <c r="R91" s="25">
        <f t="shared" si="39"/>
        <v>0</v>
      </c>
      <c r="S91" s="25">
        <f t="shared" si="39"/>
        <v>0</v>
      </c>
      <c r="T91" s="25">
        <f t="shared" si="39"/>
        <v>0</v>
      </c>
      <c r="U91" s="25">
        <f t="shared" si="39"/>
        <v>0</v>
      </c>
      <c r="V91" s="25">
        <f t="shared" si="39"/>
        <v>0</v>
      </c>
      <c r="W91" s="25">
        <f t="shared" si="39"/>
        <v>0</v>
      </c>
      <c r="X91" s="25">
        <f t="shared" si="39"/>
        <v>0</v>
      </c>
      <c r="Y91" s="25">
        <f t="shared" si="39"/>
        <v>0</v>
      </c>
      <c r="Z91" s="25">
        <f t="shared" si="39"/>
        <v>0</v>
      </c>
      <c r="AA91" s="25">
        <f t="shared" si="39"/>
        <v>0</v>
      </c>
      <c r="AB91" s="25">
        <f t="shared" si="39"/>
        <v>0</v>
      </c>
      <c r="AC91" s="25"/>
      <c r="AD91" s="25">
        <f t="shared" si="31"/>
        <v>7259.3205458342327</v>
      </c>
    </row>
    <row r="92" spans="1:30" outlineLevel="1" x14ac:dyDescent="0.25">
      <c r="A92" t="s">
        <v>85</v>
      </c>
      <c r="B92" s="29">
        <f>IF(B33="JA",B93/B87,0)</f>
        <v>0</v>
      </c>
      <c r="C92" s="29">
        <f t="shared" ref="C92:AB92" si="40">IF(C33="JA",C93/C87,0)</f>
        <v>0.275890183279209</v>
      </c>
      <c r="D92" s="29">
        <f t="shared" si="40"/>
        <v>0.24897066227602277</v>
      </c>
      <c r="E92" s="29">
        <f t="shared" si="40"/>
        <v>0.23621624314417644</v>
      </c>
      <c r="F92" s="29">
        <f t="shared" si="40"/>
        <v>0.22470481824054794</v>
      </c>
      <c r="G92" s="29">
        <f t="shared" si="40"/>
        <v>0.22722462021985299</v>
      </c>
      <c r="H92" s="29">
        <f t="shared" si="40"/>
        <v>0.23411230073066347</v>
      </c>
      <c r="I92" s="29">
        <f t="shared" si="40"/>
        <v>0.15943753517601436</v>
      </c>
      <c r="J92" s="29">
        <f t="shared" si="40"/>
        <v>0.16024283882442639</v>
      </c>
      <c r="K92" s="29">
        <f t="shared" si="40"/>
        <v>0.16106424854580664</v>
      </c>
      <c r="L92" s="29">
        <f t="shared" si="40"/>
        <v>0.1619020864616145</v>
      </c>
      <c r="M92" s="29">
        <f t="shared" si="40"/>
        <v>0.16275668113573855</v>
      </c>
      <c r="N92" s="29">
        <f t="shared" si="40"/>
        <v>0.16362836770334505</v>
      </c>
      <c r="O92" s="29">
        <f t="shared" si="40"/>
        <v>0.16451748800230362</v>
      </c>
      <c r="P92" s="29">
        <f t="shared" si="40"/>
        <v>0.16542439070724146</v>
      </c>
      <c r="Q92" s="29">
        <f t="shared" si="40"/>
        <v>0.16634943146627801</v>
      </c>
      <c r="R92" s="29">
        <f t="shared" si="40"/>
        <v>0</v>
      </c>
      <c r="S92" s="29">
        <f t="shared" si="40"/>
        <v>0</v>
      </c>
      <c r="T92" s="29">
        <f t="shared" si="40"/>
        <v>0</v>
      </c>
      <c r="U92" s="29">
        <f t="shared" si="40"/>
        <v>0</v>
      </c>
      <c r="V92" s="29">
        <f t="shared" si="40"/>
        <v>0</v>
      </c>
      <c r="W92" s="29">
        <f t="shared" si="40"/>
        <v>0</v>
      </c>
      <c r="X92" s="29">
        <f t="shared" si="40"/>
        <v>0</v>
      </c>
      <c r="Y92" s="29">
        <f t="shared" si="40"/>
        <v>0</v>
      </c>
      <c r="Z92" s="29">
        <f t="shared" si="40"/>
        <v>0</v>
      </c>
      <c r="AA92" s="29">
        <f t="shared" si="40"/>
        <v>0</v>
      </c>
      <c r="AB92" s="29">
        <f t="shared" si="40"/>
        <v>0</v>
      </c>
      <c r="AC92" s="29"/>
      <c r="AD92" s="29">
        <f t="shared" si="31"/>
        <v>2.9124418959132408</v>
      </c>
    </row>
    <row r="93" spans="1:30" outlineLevel="1" x14ac:dyDescent="0.25">
      <c r="A93" t="s">
        <v>29</v>
      </c>
      <c r="B93" s="30">
        <f>IF(B33="JA",B88*B78+B90*B78+B91*VLOOKUP($C$8,Prijzen!$B$65:$T$68,'Business case'!B31,FALSE),0)</f>
        <v>0</v>
      </c>
      <c r="C93" s="30">
        <f>IF(C33="JA",C88*C78+C90*C78+C91*VLOOKUP($C$8,Prijzen!$B$65:$T$68,'Business case'!C31,FALSE),0)</f>
        <v>397.80894521996134</v>
      </c>
      <c r="D93" s="30">
        <f>IF(D33="JA",D88*D78+D90*D78+D91*VLOOKUP($C$8,Prijzen!$B$65:$T$68,'Business case'!D31,FALSE),0)</f>
        <v>356.48045206216017</v>
      </c>
      <c r="E93" s="30">
        <f>IF(E33="JA",E88*E78+E90*E78+E91*VLOOKUP($C$8,Prijzen!$B$65:$T$68,'Business case'!E31,FALSE),0)</f>
        <v>335.85092743086102</v>
      </c>
      <c r="F93" s="30">
        <f>IF(F33="JA",F88*F78+F90*F78+F91*VLOOKUP($C$8,Prijzen!$B$65:$T$68,'Business case'!F31,FALSE),0)</f>
        <v>317.24765983726843</v>
      </c>
      <c r="G93" s="30">
        <f>IF(G33="JA",G88*G78+G90*G78+G91*VLOOKUP($C$8,Prijzen!$B$65:$T$68,'Business case'!G31,FALSE),0)</f>
        <v>318.55958510144831</v>
      </c>
      <c r="H93" s="30">
        <f>IF(H33="JA",H88*H78+H90*H78+H91*VLOOKUP($C$8,Prijzen!$B$65:$T$68,'Business case'!H31,FALSE),0)</f>
        <v>325.91831947847987</v>
      </c>
      <c r="I93" s="30">
        <f>IF(I33="JA",I88*I78+I90*I78+I91*VLOOKUP($C$8,Prijzen!$B$65:$T$68,'Business case'!I31,FALSE),0)</f>
        <v>220.40648043964438</v>
      </c>
      <c r="J93" s="30">
        <f>IF(J33="JA",J88*J78+J90*J78+J91*VLOOKUP($C$8,Prijzen!$B$65:$T$68,'Business case'!J31,FALSE),0)</f>
        <v>219.96909423734292</v>
      </c>
      <c r="K93" s="30">
        <f>IF(K33="JA",K88*K78+K90*K78+K91*VLOOKUP($C$8,Prijzen!$B$65:$T$68,'Business case'!K31,FALSE),0)</f>
        <v>219.54898594326511</v>
      </c>
      <c r="L93" s="30">
        <f>IF(L33="JA",L88*L78+L90*L78+L91*VLOOKUP($C$8,Prijzen!$B$65:$T$68,'Business case'!L31,FALSE),0)</f>
        <v>219.14621743244726</v>
      </c>
      <c r="M93" s="30">
        <f>IF(M33="JA",M88*M78+M90*M78+M91*VLOOKUP($C$8,Prijzen!$B$65:$T$68,'Business case'!M31,FALSE),0)</f>
        <v>218.76085249787064</v>
      </c>
      <c r="N93" s="30">
        <f>IF(N33="JA",N88*N78+N90*N78+N91*VLOOKUP($C$8,Prijzen!$B$65:$T$68,'Business case'!N31,FALSE),0)</f>
        <v>218.39295686727067</v>
      </c>
      <c r="O93" s="30">
        <f>IF(O33="JA",O88*O78+O90*O78+O91*VLOOKUP($C$8,Prijzen!$B$65:$T$68,'Business case'!O31,FALSE),0)</f>
        <v>218.0425982202172</v>
      </c>
      <c r="P93" s="30">
        <f>IF(P33="JA",P88*P78+P90*P78+P91*VLOOKUP($C$8,Prijzen!$B$65:$T$68,'Business case'!P31,FALSE),0)</f>
        <v>217.70984620546926</v>
      </c>
      <c r="Q93" s="30">
        <f>IF(Q33="JA",Q88*Q78+Q90*Q78+Q91*VLOOKUP($C$8,Prijzen!$B$65:$T$68,'Business case'!Q31,FALSE),0)</f>
        <v>217.39477245860661</v>
      </c>
      <c r="R93" s="30">
        <f>IF(R33="JA",R88*R78+R90*R78+R91*VLOOKUP($C$8,Prijzen!$B$65:$T$68,'Business case'!R31,FALSE),0)</f>
        <v>0</v>
      </c>
      <c r="S93" s="30">
        <f>IF(S33="JA",S88*S78+S90*S78+S91*VLOOKUP($C$8,Prijzen!$B$65:$T$68,'Business case'!S31,FALSE),0)</f>
        <v>0</v>
      </c>
      <c r="T93" s="30">
        <f>IF(T33="JA",T88*T78+T90*T78+T91*VLOOKUP($C$8,Prijzen!$B$65:$T$68,'Business case'!T31,FALSE),0)</f>
        <v>0</v>
      </c>
      <c r="U93" s="30">
        <f>IF(U33="JA",U88*U78+U90*U78+U91*VLOOKUP($C$8,Prijzen!$B$65:$T$68,'Business case'!U31,FALSE),0)</f>
        <v>0</v>
      </c>
      <c r="V93" s="30">
        <f>IF(V33="JA",V88*V78+V90*V78+V91*VLOOKUP($C$8,Prijzen!$B$65:$T$68,'Business case'!V31,FALSE),0)</f>
        <v>0</v>
      </c>
      <c r="W93" s="30">
        <f>IF(W33="JA",W88*W78+W90*W78+W91*VLOOKUP($C$8,Prijzen!$B$65:$T$68,'Business case'!W31,FALSE),0)</f>
        <v>0</v>
      </c>
      <c r="X93" s="30">
        <f>IF(X33="JA",X88*X78+X90*X78+X91*VLOOKUP($C$8,Prijzen!$B$65:$T$68,'Business case'!X31,FALSE),0)</f>
        <v>0</v>
      </c>
      <c r="Y93" s="30">
        <f>IF(Y33="JA",Y88*Y78+Y90*Y78+Y91*VLOOKUP($C$8,Prijzen!$B$65:$T$68,'Business case'!Y31,FALSE),0)</f>
        <v>0</v>
      </c>
      <c r="Z93" s="30">
        <f>IF(Z33="JA",Z88*Z78+Z90*Z78+Z91*VLOOKUP($C$8,Prijzen!$B$65:$T$68,'Business case'!Z31,FALSE),0)</f>
        <v>0</v>
      </c>
      <c r="AA93" s="30">
        <f>IF(AA33="JA",AA88*AA78+AA90*AA78+AA91*VLOOKUP($C$8,Prijzen!$B$65:$T$68,'Business case'!AA31,FALSE),0)</f>
        <v>0</v>
      </c>
      <c r="AB93" s="30">
        <f>IF(AB33="JA",AB88*AB78+AB90*AB78+AB91*VLOOKUP($C$8,Prijzen!$B$65:$T$68,'Business case'!AB31,FALSE),0)</f>
        <v>0</v>
      </c>
      <c r="AC93" s="30"/>
      <c r="AD93" s="30">
        <f t="shared" si="31"/>
        <v>4021.2376934323133</v>
      </c>
    </row>
    <row r="94" spans="1:30" outlineLevel="1" x14ac:dyDescent="0.25">
      <c r="A94" t="s">
        <v>86</v>
      </c>
      <c r="B94" s="9">
        <f>IF(B33="JA",-PMT($D$17,Kengetallen!$B$16,Investering!$D$30,0,1),0)</f>
        <v>0</v>
      </c>
      <c r="C94" s="9">
        <f>IF(C33="JA",-PMT($D$17,Kengetallen!$B$16,Investering!$D$30,0,1),0)</f>
        <v>111.07321823887055</v>
      </c>
      <c r="D94" s="9">
        <f>IF(D33="JA",-PMT($D$17,Kengetallen!$B$16,Investering!$D$30,0,1),0)</f>
        <v>111.07321823887055</v>
      </c>
      <c r="E94" s="9">
        <f>IF(E33="JA",-PMT($D$17,Kengetallen!$B$16,Investering!$D$30,0,1),0)</f>
        <v>111.07321823887055</v>
      </c>
      <c r="F94" s="9">
        <f>IF(F33="JA",-PMT($D$17,Kengetallen!$B$16,Investering!$D$30,0,1),0)</f>
        <v>111.07321823887055</v>
      </c>
      <c r="G94" s="9">
        <f>IF(G33="JA",-PMT($D$17,Kengetallen!$B$16,Investering!$D$30,0,1),0)</f>
        <v>111.07321823887055</v>
      </c>
      <c r="H94" s="9">
        <f>IF(H33="JA",-PMT($D$17,Kengetallen!$B$16,Investering!$D$30,0,1),0)</f>
        <v>111.07321823887055</v>
      </c>
      <c r="I94" s="9">
        <f>IF(I33="JA",-PMT($D$17,Kengetallen!$B$16,Investering!$D$30,0,1),0)</f>
        <v>111.07321823887055</v>
      </c>
      <c r="J94" s="9">
        <f>IF(J33="JA",-PMT($D$17,Kengetallen!$B$16,Investering!$D$30,0,1),0)</f>
        <v>111.07321823887055</v>
      </c>
      <c r="K94" s="9">
        <f>IF(K33="JA",-PMT($D$17,Kengetallen!$B$16,Investering!$D$30,0,1),0)</f>
        <v>111.07321823887055</v>
      </c>
      <c r="L94" s="9">
        <f>IF(L33="JA",-PMT($D$17,Kengetallen!$B$16,Investering!$D$30,0,1),0)</f>
        <v>111.07321823887055</v>
      </c>
      <c r="M94" s="9">
        <f>IF(M33="JA",-PMT($D$17,Kengetallen!$B$16,Investering!$D$30,0,1),0)</f>
        <v>111.07321823887055</v>
      </c>
      <c r="N94" s="9">
        <f>IF(N33="JA",-PMT($D$17,Kengetallen!$B$16,Investering!$D$30,0,1),0)</f>
        <v>111.07321823887055</v>
      </c>
      <c r="O94" s="9">
        <f>IF(O33="JA",-PMT($D$17,Kengetallen!$B$16,Investering!$D$30,0,1),0)</f>
        <v>111.07321823887055</v>
      </c>
      <c r="P94" s="9">
        <f>IF(P33="JA",-PMT($D$17,Kengetallen!$B$16,Investering!$D$30,0,1),0)</f>
        <v>111.07321823887055</v>
      </c>
      <c r="Q94" s="9">
        <f>IF(Q33="JA",-PMT($D$17,Kengetallen!$B$16,Investering!$D$30,0,1),0)</f>
        <v>111.07321823887055</v>
      </c>
      <c r="R94" s="9">
        <f>IF(R33="JA",-PMT($D$17,Kengetallen!$B$16,Investering!$D$30,0,1),0)</f>
        <v>0</v>
      </c>
      <c r="S94" s="9">
        <f>IF(S33="JA",-PMT($D$17,Kengetallen!$B$16,Investering!$D$30,0,1),0)</f>
        <v>0</v>
      </c>
      <c r="T94" s="9">
        <f>IF(T33="JA",-PMT($D$17,Kengetallen!$B$16,Investering!$D$30,0,1),0)</f>
        <v>0</v>
      </c>
      <c r="U94" s="9">
        <f>IF(U33="JA",-PMT($D$17,Kengetallen!$B$16,Investering!$D$30,0,1),0)</f>
        <v>0</v>
      </c>
      <c r="V94" s="9">
        <f>IF(V33="JA",-PMT($D$17,Kengetallen!$B$16,Investering!$D$30,0,1),0)</f>
        <v>0</v>
      </c>
      <c r="W94" s="9">
        <f>IF(W33="JA",-PMT($D$17,Kengetallen!$B$16,Investering!$D$30,0,1),0)</f>
        <v>0</v>
      </c>
      <c r="X94" s="9">
        <f>IF(X33="JA",-PMT($D$17,Kengetallen!$B$16,Investering!$D$30,0,1),0)</f>
        <v>0</v>
      </c>
      <c r="Y94" s="9">
        <f>IF(Y33="JA",-PMT($D$17,Kengetallen!$B$16,Investering!$D$30,0,1),0)</f>
        <v>0</v>
      </c>
      <c r="Z94" s="9">
        <f>IF(Z33="JA",-PMT($D$17,Kengetallen!$B$16,Investering!$D$30,0,1),0)</f>
        <v>0</v>
      </c>
      <c r="AA94" s="9">
        <f>IF(AA33="JA",-PMT($D$17,Kengetallen!$B$16,Investering!$D$30,0,1),0)</f>
        <v>0</v>
      </c>
      <c r="AB94" s="9">
        <f>IF(AB33="JA",-PMT($D$17,Kengetallen!$B$16,Investering!$D$30,0,1),0)</f>
        <v>0</v>
      </c>
      <c r="AC94" s="9"/>
      <c r="AD94" s="9">
        <f t="shared" si="31"/>
        <v>1666.0982735830587</v>
      </c>
    </row>
    <row r="95" spans="1:30" outlineLevel="1" x14ac:dyDescent="0.25">
      <c r="A95" t="s">
        <v>33</v>
      </c>
      <c r="B95" s="9">
        <f>IF(B33="JA",IF($D$19&gt;0,Kengetallen!$B$20*(1+Kengetallen!$B$2)^'Business case'!B$32,0),0)</f>
        <v>0</v>
      </c>
      <c r="C95" s="9">
        <f>IF(C33="JA",IF($D$19&gt;0,Kengetallen!$B$20*(1+Kengetallen!$B$2)^'Business case'!C$32,0),0)</f>
        <v>25.5</v>
      </c>
      <c r="D95" s="9">
        <f>IF(D33="JA",IF($D$19&gt;0,Kengetallen!$B$20*(1+Kengetallen!$B$2)^'Business case'!D$32,0),0)</f>
        <v>26.009999999999998</v>
      </c>
      <c r="E95" s="9">
        <f>IF(E33="JA",IF($D$19&gt;0,Kengetallen!$B$20*(1+Kengetallen!$B$2)^'Business case'!E$32,0),0)</f>
        <v>26.530199999999997</v>
      </c>
      <c r="F95" s="9">
        <f>IF(F33="JA",IF($D$19&gt;0,Kengetallen!$B$20*(1+Kengetallen!$B$2)^'Business case'!F$32,0),0)</f>
        <v>27.060804000000001</v>
      </c>
      <c r="G95" s="9">
        <f>IF(G33="JA",IF($D$19&gt;0,Kengetallen!$B$20*(1+Kengetallen!$B$2)^'Business case'!G$32,0),0)</f>
        <v>27.602020079999999</v>
      </c>
      <c r="H95" s="9">
        <f>IF(H33="JA",IF($D$19&gt;0,Kengetallen!$B$20*(1+Kengetallen!$B$2)^'Business case'!H$32,0),0)</f>
        <v>28.154060481600002</v>
      </c>
      <c r="I95" s="9">
        <f>IF(I33="JA",IF($D$19&gt;0,Kengetallen!$B$20*(1+Kengetallen!$B$2)^'Business case'!I$32,0),0)</f>
        <v>28.717141691231994</v>
      </c>
      <c r="J95" s="9">
        <f>IF(J33="JA",IF($D$19&gt;0,Kengetallen!$B$20*(1+Kengetallen!$B$2)^'Business case'!J$32,0),0)</f>
        <v>29.291484525056639</v>
      </c>
      <c r="K95" s="9">
        <f>IF(K33="JA",IF($D$19&gt;0,Kengetallen!$B$20*(1+Kengetallen!$B$2)^'Business case'!K$32,0),0)</f>
        <v>29.877314215557771</v>
      </c>
      <c r="L95" s="9">
        <f>IF(L33="JA",IF($D$19&gt;0,Kengetallen!$B$20*(1+Kengetallen!$B$2)^'Business case'!L$32,0),0)</f>
        <v>30.474860499868928</v>
      </c>
      <c r="M95" s="9">
        <f>IF(M33="JA",IF($D$19&gt;0,Kengetallen!$B$20*(1+Kengetallen!$B$2)^'Business case'!M$32,0),0)</f>
        <v>31.0843577098663</v>
      </c>
      <c r="N95" s="9">
        <f>IF(N33="JA",IF($D$19&gt;0,Kengetallen!$B$20*(1+Kengetallen!$B$2)^'Business case'!N$32,0),0)</f>
        <v>31.706044864063632</v>
      </c>
      <c r="O95" s="9">
        <f>IF(O33="JA",IF($D$19&gt;0,Kengetallen!$B$20*(1+Kengetallen!$B$2)^'Business case'!O$32,0),0)</f>
        <v>32.340165761344899</v>
      </c>
      <c r="P95" s="9">
        <f>IF(P33="JA",IF($D$19&gt;0,Kengetallen!$B$20*(1+Kengetallen!$B$2)^'Business case'!P$32,0),0)</f>
        <v>32.986969076571803</v>
      </c>
      <c r="Q95" s="9">
        <f>IF(Q33="JA",IF($D$19&gt;0,Kengetallen!$B$20*(1+Kengetallen!$B$2)^'Business case'!Q$32,0),0)</f>
        <v>33.646708458103234</v>
      </c>
      <c r="R95" s="9">
        <f>IF(R33="JA",IF($D$19&gt;0,Kengetallen!$B$20*(1+Kengetallen!$B$2)^'Business case'!R$32,0),0)</f>
        <v>0</v>
      </c>
      <c r="S95" s="9">
        <f>IF(S33="JA",IF($D$19&gt;0,Kengetallen!$B$20*(1+Kengetallen!$B$2)^'Business case'!S$32,0),0)</f>
        <v>0</v>
      </c>
      <c r="T95" s="9">
        <f>IF(T33="JA",IF($D$19&gt;0,Kengetallen!$B$20*(1+Kengetallen!$B$2)^'Business case'!T$32,0),0)</f>
        <v>0</v>
      </c>
      <c r="U95" s="9">
        <f>IF(U33="JA",IF($D$19&gt;0,Kengetallen!$B$20*(1+Kengetallen!$B$2)^'Business case'!U$32,0),0)</f>
        <v>0</v>
      </c>
      <c r="V95" s="9">
        <f>IF(V33="JA",IF($D$19&gt;0,Kengetallen!$B$20*(1+Kengetallen!$B$2)^'Business case'!V$32,0),0)</f>
        <v>0</v>
      </c>
      <c r="W95" s="9">
        <f>IF(W33="JA",IF($D$19&gt;0,Kengetallen!$B$20*(1+Kengetallen!$B$2)^'Business case'!W$32,0),0)</f>
        <v>0</v>
      </c>
      <c r="X95" s="9">
        <f>IF(X33="JA",IF($D$19&gt;0,Kengetallen!$B$20*(1+Kengetallen!$B$2)^'Business case'!X$32,0),0)</f>
        <v>0</v>
      </c>
      <c r="Y95" s="9">
        <f>IF(Y33="JA",IF($D$19&gt;0,Kengetallen!$B$20*(1+Kengetallen!$B$2)^'Business case'!Y$32,0),0)</f>
        <v>0</v>
      </c>
      <c r="Z95" s="9">
        <f>IF(Z33="JA",IF($D$19&gt;0,Kengetallen!$B$20*(1+Kengetallen!$B$2)^'Business case'!Z$32,0),0)</f>
        <v>0</v>
      </c>
      <c r="AA95" s="9">
        <f>IF(AA33="JA",IF($D$19&gt;0,Kengetallen!$B$20*(1+Kengetallen!$B$2)^'Business case'!AA$32,0),0)</f>
        <v>0</v>
      </c>
      <c r="AB95" s="9">
        <f>IF(AB33="JA",IF($D$19&gt;0,Kengetallen!$B$20*(1+Kengetallen!$B$2)^'Business case'!AB$32,0),0)</f>
        <v>0</v>
      </c>
      <c r="AC95" s="9"/>
      <c r="AD95" s="9">
        <f t="shared" si="31"/>
        <v>440.98213136326524</v>
      </c>
    </row>
    <row r="96" spans="1:30" outlineLevel="1" x14ac:dyDescent="0.25">
      <c r="A96" s="3" t="s">
        <v>36</v>
      </c>
      <c r="B96" s="17">
        <f t="shared" ref="B96:R96" si="41">SUM(B80:B86)-B93+B94+B95</f>
        <v>0</v>
      </c>
      <c r="C96" s="17">
        <f>SUM(C80:C86)-C93+C94+C95</f>
        <v>1763.8224629500976</v>
      </c>
      <c r="D96" s="17">
        <f t="shared" si="41"/>
        <v>1769.6317926471972</v>
      </c>
      <c r="E96" s="17">
        <f t="shared" si="41"/>
        <v>1775.3823441176205</v>
      </c>
      <c r="F96" s="17">
        <f t="shared" si="41"/>
        <v>1780.9843873942766</v>
      </c>
      <c r="G96" s="17">
        <f t="shared" si="41"/>
        <v>1787.1199161491961</v>
      </c>
      <c r="H96" s="17">
        <f t="shared" si="41"/>
        <v>1793.6268932610999</v>
      </c>
      <c r="I96" s="17">
        <f t="shared" si="41"/>
        <v>1905.9463823734081</v>
      </c>
      <c r="J96" s="17">
        <f t="shared" si="41"/>
        <v>1913.3275716506516</v>
      </c>
      <c r="K96" s="17">
        <f t="shared" si="41"/>
        <v>1920.8303590811706</v>
      </c>
      <c r="L96" s="17">
        <f t="shared" si="41"/>
        <v>1928.4574603111585</v>
      </c>
      <c r="M96" s="17">
        <f t="shared" si="41"/>
        <v>1936.2116446192879</v>
      </c>
      <c r="N96" s="17">
        <f t="shared" si="41"/>
        <v>1944.0957360109123</v>
      </c>
      <c r="O96" s="17">
        <f t="shared" si="41"/>
        <v>1952.1126143342108</v>
      </c>
      <c r="P96" s="17">
        <f t="shared" si="41"/>
        <v>1960.265216418728</v>
      </c>
      <c r="Q96" s="17">
        <f t="shared" si="41"/>
        <v>1968.5565372367557</v>
      </c>
      <c r="R96" s="17">
        <f t="shared" si="41"/>
        <v>0</v>
      </c>
      <c r="S96" s="17">
        <f t="shared" ref="S96:AB96" si="42">SUM(S80:S86)-S93+S94+S95</f>
        <v>0</v>
      </c>
      <c r="T96" s="17">
        <f t="shared" si="42"/>
        <v>0</v>
      </c>
      <c r="U96" s="17">
        <f t="shared" si="42"/>
        <v>0</v>
      </c>
      <c r="V96" s="17">
        <f t="shared" si="42"/>
        <v>0</v>
      </c>
      <c r="W96" s="17">
        <f t="shared" si="42"/>
        <v>0</v>
      </c>
      <c r="X96" s="17">
        <f t="shared" si="42"/>
        <v>0</v>
      </c>
      <c r="Y96" s="17">
        <f t="shared" si="42"/>
        <v>0</v>
      </c>
      <c r="Z96" s="17">
        <f t="shared" si="42"/>
        <v>0</v>
      </c>
      <c r="AA96" s="17">
        <f t="shared" si="42"/>
        <v>0</v>
      </c>
      <c r="AB96" s="17">
        <f t="shared" si="42"/>
        <v>0</v>
      </c>
      <c r="AC96" s="17"/>
      <c r="AD96" s="17">
        <f t="shared" si="31"/>
        <v>28100.371318555775</v>
      </c>
    </row>
    <row r="97" spans="1:30" outlineLevel="1" x14ac:dyDescent="0.25">
      <c r="A97" t="s">
        <v>40</v>
      </c>
      <c r="B97" s="9">
        <f t="shared" ref="B97:AB97" si="43">B81+B86-B93+B95</f>
        <v>0</v>
      </c>
      <c r="C97" s="9">
        <f>C81+C86-C93+C95</f>
        <v>181.3042926651961</v>
      </c>
      <c r="D97" s="9">
        <f t="shared" si="43"/>
        <v>187.11362236229564</v>
      </c>
      <c r="E97" s="9">
        <f t="shared" si="43"/>
        <v>192.86417383271899</v>
      </c>
      <c r="F97" s="9">
        <f t="shared" si="43"/>
        <v>198.46621710937521</v>
      </c>
      <c r="G97" s="9">
        <f t="shared" si="43"/>
        <v>204.60174586429468</v>
      </c>
      <c r="H97" s="9">
        <f t="shared" si="43"/>
        <v>211.10872297619827</v>
      </c>
      <c r="I97" s="9">
        <f t="shared" si="43"/>
        <v>323.42821208850648</v>
      </c>
      <c r="J97" s="9">
        <f t="shared" si="43"/>
        <v>330.80940136575015</v>
      </c>
      <c r="K97" s="9">
        <f t="shared" si="43"/>
        <v>338.31218879626897</v>
      </c>
      <c r="L97" s="9">
        <f t="shared" si="43"/>
        <v>345.93929002625669</v>
      </c>
      <c r="M97" s="9">
        <f t="shared" si="43"/>
        <v>353.69347433438645</v>
      </c>
      <c r="N97" s="9">
        <f t="shared" si="43"/>
        <v>361.57756572601079</v>
      </c>
      <c r="O97" s="9">
        <f t="shared" si="43"/>
        <v>369.594444049309</v>
      </c>
      <c r="P97" s="9">
        <f t="shared" si="43"/>
        <v>377.7470461338267</v>
      </c>
      <c r="Q97" s="9">
        <f t="shared" si="43"/>
        <v>386.0383669518543</v>
      </c>
      <c r="R97" s="9">
        <f t="shared" si="43"/>
        <v>0</v>
      </c>
      <c r="S97" s="9">
        <f t="shared" si="43"/>
        <v>0</v>
      </c>
      <c r="T97" s="9">
        <f t="shared" si="43"/>
        <v>0</v>
      </c>
      <c r="U97" s="9">
        <f t="shared" si="43"/>
        <v>0</v>
      </c>
      <c r="V97" s="9">
        <f t="shared" si="43"/>
        <v>0</v>
      </c>
      <c r="W97" s="9">
        <f t="shared" si="43"/>
        <v>0</v>
      </c>
      <c r="X97" s="9">
        <f t="shared" si="43"/>
        <v>0</v>
      </c>
      <c r="Y97" s="9">
        <f t="shared" si="43"/>
        <v>0</v>
      </c>
      <c r="Z97" s="9">
        <f t="shared" si="43"/>
        <v>0</v>
      </c>
      <c r="AA97" s="9">
        <f t="shared" si="43"/>
        <v>0</v>
      </c>
      <c r="AB97" s="9">
        <f t="shared" si="43"/>
        <v>0</v>
      </c>
      <c r="AC97" s="9"/>
      <c r="AD97" s="9"/>
    </row>
    <row r="98" spans="1:30" outlineLevel="1" x14ac:dyDescent="0.25">
      <c r="A98" s="3" t="s">
        <v>87</v>
      </c>
      <c r="B98" s="17">
        <f>IFERROR(B42-B96,"")</f>
        <v>0</v>
      </c>
      <c r="C98" s="17">
        <f>IFERROR(C42-C96,"")</f>
        <v>-126.47189116185245</v>
      </c>
      <c r="D98" s="17">
        <f t="shared" ref="D98:AB98" si="44">IFERROR(D42-D96,"")</f>
        <v>-151.31940695224944</v>
      </c>
      <c r="E98" s="17">
        <f t="shared" si="44"/>
        <v>-165.09046090189122</v>
      </c>
      <c r="F98" s="17">
        <f t="shared" si="44"/>
        <v>-159.01359800195564</v>
      </c>
      <c r="G98" s="17">
        <f t="shared" si="44"/>
        <v>-121.21864254175603</v>
      </c>
      <c r="H98" s="17">
        <f t="shared" si="44"/>
        <v>-91.435033638493906</v>
      </c>
      <c r="I98" s="17">
        <f t="shared" si="44"/>
        <v>-180.41320444881103</v>
      </c>
      <c r="J98" s="17">
        <f t="shared" si="44"/>
        <v>-163.98624905802399</v>
      </c>
      <c r="K98" s="17">
        <f t="shared" si="44"/>
        <v>-147.20472892715179</v>
      </c>
      <c r="L98" s="17">
        <f t="shared" si="44"/>
        <v>-130.06183644452017</v>
      </c>
      <c r="M98" s="17">
        <f t="shared" si="44"/>
        <v>-112.55062716577822</v>
      </c>
      <c r="N98" s="17">
        <f t="shared" si="44"/>
        <v>-94.664017098793693</v>
      </c>
      <c r="O98" s="17">
        <f t="shared" si="44"/>
        <v>-76.394779934310918</v>
      </c>
      <c r="P98" s="17">
        <f t="shared" si="44"/>
        <v>-57.735544221291548</v>
      </c>
      <c r="Q98" s="17">
        <f t="shared" si="44"/>
        <v>-38.678790485831769</v>
      </c>
      <c r="R98" s="17">
        <f t="shared" si="44"/>
        <v>0</v>
      </c>
      <c r="S98" s="17">
        <f t="shared" si="44"/>
        <v>0</v>
      </c>
      <c r="T98" s="17">
        <f t="shared" si="44"/>
        <v>0</v>
      </c>
      <c r="U98" s="17">
        <f t="shared" si="44"/>
        <v>0</v>
      </c>
      <c r="V98" s="17">
        <f t="shared" si="44"/>
        <v>0</v>
      </c>
      <c r="W98" s="17">
        <f t="shared" si="44"/>
        <v>0</v>
      </c>
      <c r="X98" s="17">
        <f t="shared" si="44"/>
        <v>0</v>
      </c>
      <c r="Y98" s="17">
        <f t="shared" si="44"/>
        <v>0</v>
      </c>
      <c r="Z98" s="17">
        <f t="shared" si="44"/>
        <v>0</v>
      </c>
      <c r="AA98" s="17">
        <f t="shared" si="44"/>
        <v>0</v>
      </c>
      <c r="AB98" s="17">
        <f t="shared" si="44"/>
        <v>0</v>
      </c>
      <c r="AC98" s="17"/>
      <c r="AD98" s="17">
        <f t="shared" ref="AD98" si="45">SUM(B98:AB98)</f>
        <v>-1816.2388109827118</v>
      </c>
    </row>
    <row r="99" spans="1:30" outlineLevel="1" x14ac:dyDescent="0.25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outlineLevel="1" x14ac:dyDescent="0.25">
      <c r="A100" s="27" t="s">
        <v>88</v>
      </c>
    </row>
    <row r="101" spans="1:30" outlineLevel="1" x14ac:dyDescent="0.25">
      <c r="A101" t="s">
        <v>72</v>
      </c>
      <c r="B101">
        <f t="shared" ref="B101:AB101" si="46">IF(B$33="JA",$C$1*(1-$C$4)*(1-$C$3),0)</f>
        <v>0</v>
      </c>
      <c r="C101">
        <f t="shared" si="46"/>
        <v>0</v>
      </c>
      <c r="D101">
        <f t="shared" si="46"/>
        <v>0</v>
      </c>
      <c r="E101">
        <f t="shared" si="46"/>
        <v>0</v>
      </c>
      <c r="F101">
        <f t="shared" si="46"/>
        <v>0</v>
      </c>
      <c r="G101">
        <f t="shared" si="46"/>
        <v>0</v>
      </c>
      <c r="H101">
        <f t="shared" si="46"/>
        <v>0</v>
      </c>
      <c r="I101">
        <f t="shared" si="46"/>
        <v>0</v>
      </c>
      <c r="J101">
        <f t="shared" si="46"/>
        <v>0</v>
      </c>
      <c r="K101">
        <f t="shared" si="46"/>
        <v>0</v>
      </c>
      <c r="L101">
        <f t="shared" si="46"/>
        <v>0</v>
      </c>
      <c r="M101">
        <f t="shared" si="46"/>
        <v>0</v>
      </c>
      <c r="N101">
        <f t="shared" si="46"/>
        <v>0</v>
      </c>
      <c r="O101">
        <f t="shared" si="46"/>
        <v>0</v>
      </c>
      <c r="P101">
        <f t="shared" si="46"/>
        <v>0</v>
      </c>
      <c r="Q101">
        <f t="shared" si="46"/>
        <v>0</v>
      </c>
      <c r="R101">
        <f t="shared" si="46"/>
        <v>0</v>
      </c>
      <c r="S101">
        <f t="shared" si="46"/>
        <v>0</v>
      </c>
      <c r="T101">
        <f t="shared" si="46"/>
        <v>0</v>
      </c>
      <c r="U101">
        <f t="shared" si="46"/>
        <v>0</v>
      </c>
      <c r="V101">
        <f t="shared" si="46"/>
        <v>0</v>
      </c>
      <c r="W101">
        <f t="shared" si="46"/>
        <v>0</v>
      </c>
      <c r="X101">
        <f t="shared" si="46"/>
        <v>0</v>
      </c>
      <c r="Y101">
        <f t="shared" si="46"/>
        <v>0</v>
      </c>
      <c r="Z101">
        <f t="shared" si="46"/>
        <v>0</v>
      </c>
      <c r="AA101">
        <f t="shared" si="46"/>
        <v>0</v>
      </c>
      <c r="AB101">
        <f t="shared" si="46"/>
        <v>0</v>
      </c>
      <c r="AC101" s="25"/>
      <c r="AD101" s="25">
        <f t="shared" si="11"/>
        <v>0</v>
      </c>
    </row>
    <row r="102" spans="1:30" outlineLevel="1" x14ac:dyDescent="0.25">
      <c r="A102" s="13" t="s">
        <v>67</v>
      </c>
      <c r="B102">
        <f>MIN(B101,Prijzen!C108)</f>
        <v>0</v>
      </c>
      <c r="C102">
        <f>MIN(C101,Prijzen!D108)</f>
        <v>0</v>
      </c>
      <c r="D102">
        <f>MIN(D101,Prijzen!E108)</f>
        <v>0</v>
      </c>
      <c r="E102">
        <f>MIN(E101,Prijzen!F108)</f>
        <v>0</v>
      </c>
      <c r="F102">
        <f>MIN(F101,Prijzen!G108)</f>
        <v>0</v>
      </c>
      <c r="G102">
        <f>MIN(G101,Prijzen!H108)</f>
        <v>0</v>
      </c>
      <c r="H102">
        <f>MIN(H101,Prijzen!I108)</f>
        <v>0</v>
      </c>
      <c r="I102">
        <f>MIN(I101,Prijzen!J108)</f>
        <v>0</v>
      </c>
      <c r="J102">
        <f>MIN(J101,Prijzen!K108)</f>
        <v>0</v>
      </c>
      <c r="K102">
        <f>MIN(K101,Prijzen!L108)</f>
        <v>0</v>
      </c>
      <c r="L102">
        <f>MIN(L101,Prijzen!M108)</f>
        <v>0</v>
      </c>
      <c r="M102">
        <f>MIN(M101,Prijzen!N108)</f>
        <v>0</v>
      </c>
      <c r="N102">
        <f>MIN(N101,Prijzen!O108)</f>
        <v>0</v>
      </c>
      <c r="O102">
        <f>MIN(O101,Prijzen!P108)</f>
        <v>0</v>
      </c>
      <c r="P102">
        <f>MIN(P101,Prijzen!Q108)</f>
        <v>0</v>
      </c>
      <c r="Q102">
        <f>MIN(Q101,Prijzen!R108)</f>
        <v>0</v>
      </c>
      <c r="R102">
        <f>MIN(R101,Prijzen!S108)</f>
        <v>0</v>
      </c>
      <c r="S102">
        <f>MIN(S101,Prijzen!T108)</f>
        <v>0</v>
      </c>
      <c r="T102">
        <f>MIN(T101,Prijzen!U108)</f>
        <v>0</v>
      </c>
      <c r="U102">
        <f>MIN(U101,Prijzen!V108)</f>
        <v>0</v>
      </c>
      <c r="V102">
        <f>MIN(V101,Prijzen!W108)</f>
        <v>0</v>
      </c>
      <c r="W102">
        <f>MIN(W101,Prijzen!X108)</f>
        <v>0</v>
      </c>
      <c r="X102">
        <f>MIN(X101,Prijzen!Y108)</f>
        <v>0</v>
      </c>
      <c r="Y102">
        <f>MIN(Y101,Prijzen!Z108)</f>
        <v>0</v>
      </c>
      <c r="Z102">
        <f>MIN(Z101,Prijzen!AA108)</f>
        <v>0</v>
      </c>
      <c r="AA102">
        <f>MIN(AA101,Prijzen!AB108)</f>
        <v>0</v>
      </c>
      <c r="AB102">
        <f>MIN(AB101,Prijzen!AC108)</f>
        <v>0</v>
      </c>
      <c r="AD102">
        <f t="shared" si="11"/>
        <v>0</v>
      </c>
    </row>
    <row r="103" spans="1:30" outlineLevel="1" x14ac:dyDescent="0.25">
      <c r="A103" t="s">
        <v>73</v>
      </c>
      <c r="B103" s="25">
        <f t="shared" ref="B103:AB103" si="47">IF(B$33="JA",$C$1*(1-$C$3)*$C$4*9.5/$E$14,0)</f>
        <v>0</v>
      </c>
      <c r="C103" s="25">
        <f t="shared" si="47"/>
        <v>1452.075</v>
      </c>
      <c r="D103" s="25">
        <f t="shared" si="47"/>
        <v>1452.075</v>
      </c>
      <c r="E103" s="25">
        <f t="shared" si="47"/>
        <v>1452.075</v>
      </c>
      <c r="F103" s="25">
        <f t="shared" si="47"/>
        <v>1452.075</v>
      </c>
      <c r="G103" s="25">
        <f t="shared" si="47"/>
        <v>1452.075</v>
      </c>
      <c r="H103" s="25">
        <f t="shared" si="47"/>
        <v>1452.075</v>
      </c>
      <c r="I103" s="25">
        <f t="shared" si="47"/>
        <v>1452.075</v>
      </c>
      <c r="J103" s="25">
        <f t="shared" si="47"/>
        <v>1452.075</v>
      </c>
      <c r="K103" s="25">
        <f t="shared" si="47"/>
        <v>1452.075</v>
      </c>
      <c r="L103" s="25">
        <f t="shared" si="47"/>
        <v>1452.075</v>
      </c>
      <c r="M103" s="25">
        <f t="shared" si="47"/>
        <v>1452.075</v>
      </c>
      <c r="N103" s="25">
        <f t="shared" si="47"/>
        <v>1452.075</v>
      </c>
      <c r="O103" s="25">
        <f t="shared" si="47"/>
        <v>1452.075</v>
      </c>
      <c r="P103" s="25">
        <f t="shared" si="47"/>
        <v>1452.075</v>
      </c>
      <c r="Q103" s="25">
        <f t="shared" si="47"/>
        <v>1452.075</v>
      </c>
      <c r="R103" s="25">
        <f t="shared" si="47"/>
        <v>0</v>
      </c>
      <c r="S103" s="25">
        <f t="shared" si="47"/>
        <v>0</v>
      </c>
      <c r="T103" s="25">
        <f t="shared" si="47"/>
        <v>0</v>
      </c>
      <c r="U103" s="25">
        <f t="shared" si="47"/>
        <v>0</v>
      </c>
      <c r="V103" s="25">
        <f t="shared" si="47"/>
        <v>0</v>
      </c>
      <c r="W103" s="25">
        <f t="shared" si="47"/>
        <v>0</v>
      </c>
      <c r="X103" s="25">
        <f t="shared" si="47"/>
        <v>0</v>
      </c>
      <c r="Y103" s="25">
        <f t="shared" si="47"/>
        <v>0</v>
      </c>
      <c r="Z103" s="25">
        <f t="shared" si="47"/>
        <v>0</v>
      </c>
      <c r="AA103" s="25">
        <f t="shared" si="47"/>
        <v>0</v>
      </c>
      <c r="AB103" s="25">
        <f t="shared" si="47"/>
        <v>0</v>
      </c>
      <c r="AC103" s="25"/>
      <c r="AD103" s="25">
        <f t="shared" si="11"/>
        <v>21781.125000000007</v>
      </c>
    </row>
    <row r="104" spans="1:30" outlineLevel="1" x14ac:dyDescent="0.25">
      <c r="A104" s="13" t="s">
        <v>67</v>
      </c>
      <c r="AC104" s="25"/>
      <c r="AD104" s="25">
        <f t="shared" si="11"/>
        <v>0</v>
      </c>
    </row>
    <row r="105" spans="1:30" outlineLevel="1" x14ac:dyDescent="0.25">
      <c r="A105" t="s">
        <v>74</v>
      </c>
      <c r="B105" s="24">
        <f>VLOOKUP($C$8,Prijzen!$B$32:$T$35,B$31,FALSE)</f>
        <v>1.248756086373378</v>
      </c>
      <c r="C105" s="24">
        <f>VLOOKUP($C$8,Prijzen!$B$32:$T$35,C$31,FALSE)</f>
        <v>1.2514967446419549</v>
      </c>
      <c r="D105" s="24">
        <f>VLOOKUP($C$8,Prijzen!$B$32:$T$35,D$31,FALSE)</f>
        <v>1.2287304397192578</v>
      </c>
      <c r="E105" s="24">
        <f>VLOOKUP($C$8,Prijzen!$B$32:$T$35,E$31,FALSE)</f>
        <v>1.2128648759239511</v>
      </c>
      <c r="F105" s="24">
        <f>VLOOKUP($C$8,Prijzen!$B$32:$T$35,F$31,FALSE)</f>
        <v>1.222362781734142</v>
      </c>
      <c r="G105" s="24">
        <f>VLOOKUP($C$8,Prijzen!$B$32:$T$35,G$31,FALSE)</f>
        <v>1.2671352026773273</v>
      </c>
      <c r="H105" s="24">
        <f>VLOOKUP($C$8,Prijzen!$B$32:$T$35,H$31,FALSE)</f>
        <v>1.2991424041980122</v>
      </c>
      <c r="I105" s="24">
        <f>VLOOKUP($C$8,Prijzen!$B$32:$T$35,I$31,FALSE)</f>
        <v>1.3162505241946256</v>
      </c>
      <c r="J105" s="24">
        <f>VLOOKUP($C$8,Prijzen!$B$32:$T$35,J$31,FALSE)</f>
        <v>1.3337008065911713</v>
      </c>
      <c r="K105" s="24">
        <f>VLOOKUP($C$8,Prijzen!$B$32:$T$35,K$31,FALSE)</f>
        <v>1.3515000946356479</v>
      </c>
      <c r="L105" s="24">
        <f>VLOOKUP($C$8,Prijzen!$B$32:$T$35,L$31,FALSE)</f>
        <v>1.369655368441014</v>
      </c>
      <c r="M105" s="24">
        <f>VLOOKUP($C$8,Prijzen!$B$32:$T$35,M$31,FALSE)</f>
        <v>1.3881737477224874</v>
      </c>
      <c r="N105" s="24">
        <f>VLOOKUP($C$8,Prijzen!$B$32:$T$35,N$31,FALSE)</f>
        <v>1.4070624945895902</v>
      </c>
      <c r="O105" s="24">
        <f>VLOOKUP($C$8,Prijzen!$B$32:$T$35,O$31,FALSE)</f>
        <v>1.4263290163940352</v>
      </c>
      <c r="P105" s="24">
        <f>VLOOKUP($C$8,Prijzen!$B$32:$T$35,P$31,FALSE)</f>
        <v>1.445980868634569</v>
      </c>
      <c r="Q105" s="24">
        <f>VLOOKUP($C$8,Prijzen!$B$32:$T$35,Q$31,FALSE)</f>
        <v>1.4660257579199134</v>
      </c>
      <c r="R105" s="24">
        <f>VLOOKUP($C$8,Prijzen!$B$32:$T$35,R$31,FALSE)</f>
        <v>1.4864715449909649</v>
      </c>
      <c r="S105" s="24">
        <f>VLOOKUP($C$8,Prijzen!$B$32:$T$35,S$31,FALSE)</f>
        <v>1.2991424041980122</v>
      </c>
      <c r="T105" s="24">
        <f>VLOOKUP($C$8,Prijzen!$B$32:$T$35,T$31,FALSE)</f>
        <v>1.2991424041980122</v>
      </c>
      <c r="U105" s="24">
        <f>VLOOKUP($C$8,Prijzen!$B$32:$T$35,U$31,FALSE)</f>
        <v>1.2991424041980122</v>
      </c>
      <c r="V105" s="24">
        <f>VLOOKUP($C$8,Prijzen!$B$32:$T$35,V$31,FALSE)</f>
        <v>1.2991424041980122</v>
      </c>
      <c r="W105" s="24">
        <f>VLOOKUP($C$8,Prijzen!$B$32:$T$35,W$31,FALSE)</f>
        <v>1.2991424041980122</v>
      </c>
      <c r="X105" s="24">
        <f>VLOOKUP($C$8,Prijzen!$B$32:$T$35,X$31,FALSE)</f>
        <v>1.2991424041980122</v>
      </c>
      <c r="Y105" s="24">
        <f>VLOOKUP($C$8,Prijzen!$B$32:$T$35,Y$31,FALSE)</f>
        <v>1.2991424041980122</v>
      </c>
      <c r="Z105" s="24">
        <f>VLOOKUP($C$8,Prijzen!$B$32:$T$35,Z$31,FALSE)</f>
        <v>1.2991424041980122</v>
      </c>
      <c r="AA105" s="24">
        <f>VLOOKUP($C$8,Prijzen!$B$32:$T$35,AA$31,FALSE)</f>
        <v>1.2991424041980122</v>
      </c>
      <c r="AB105" s="24">
        <f>VLOOKUP($C$8,Prijzen!$B$32:$T$35,AB$31,FALSE)</f>
        <v>1.2991424041980122</v>
      </c>
      <c r="AC105" s="24"/>
      <c r="AD105" s="24">
        <f t="shared" si="11"/>
        <v>35.713062801362163</v>
      </c>
    </row>
    <row r="106" spans="1:30" outlineLevel="1" x14ac:dyDescent="0.25">
      <c r="A106" t="s">
        <v>75</v>
      </c>
      <c r="B106" s="24">
        <f>VLOOKUP($C$8,Prijzen!$B$38:$T$41,B$31,FALSE)</f>
        <v>0.30772435747266325</v>
      </c>
      <c r="C106" s="24">
        <f>VLOOKUP($C$8,Prijzen!$B$38:$T$41,C$31,FALSE)</f>
        <v>0.275890183279209</v>
      </c>
      <c r="D106" s="24">
        <f>VLOOKUP($C$8,Prijzen!$B$38:$T$41,D$31,FALSE)</f>
        <v>0.24897066227602277</v>
      </c>
      <c r="E106" s="24">
        <f>VLOOKUP($C$8,Prijzen!$B$38:$T$41,E$31,FALSE)</f>
        <v>0.23621624314417644</v>
      </c>
      <c r="F106" s="24">
        <f>VLOOKUP($C$8,Prijzen!$B$38:$T$41,F$31,FALSE)</f>
        <v>0.22470481824054794</v>
      </c>
      <c r="G106" s="24">
        <f>VLOOKUP($C$8,Prijzen!$B$38:$T$41,G$31,FALSE)</f>
        <v>0.22722462021985299</v>
      </c>
      <c r="H106" s="24">
        <f>VLOOKUP($C$8,Prijzen!$B$38:$T$41,H$31,FALSE)</f>
        <v>0.23411230073066347</v>
      </c>
      <c r="I106" s="24">
        <f>VLOOKUP($C$8,Prijzen!$B$38:$T$41,I$31,FALSE)</f>
        <v>0.2360860841826537</v>
      </c>
      <c r="J106" s="24">
        <f>VLOOKUP($C$8,Prijzen!$B$38:$T$41,J$31,FALSE)</f>
        <v>0.23809934330368376</v>
      </c>
      <c r="K106" s="24">
        <f>VLOOKUP($C$8,Prijzen!$B$38:$T$41,K$31,FALSE)</f>
        <v>0.24015286760713439</v>
      </c>
      <c r="L106" s="24">
        <f>VLOOKUP($C$8,Prijzen!$B$38:$T$41,L$31,FALSE)</f>
        <v>0.24224746239665404</v>
      </c>
      <c r="M106" s="24">
        <f>VLOOKUP($C$8,Prijzen!$B$38:$T$41,M$31,FALSE)</f>
        <v>0.24438394908196409</v>
      </c>
      <c r="N106" s="24">
        <f>VLOOKUP($C$8,Prijzen!$B$38:$T$41,N$31,FALSE)</f>
        <v>0.24656316550098034</v>
      </c>
      <c r="O106" s="24">
        <f>VLOOKUP($C$8,Prijzen!$B$38:$T$41,O$31,FALSE)</f>
        <v>0.2487859662483769</v>
      </c>
      <c r="P106" s="24">
        <f>VLOOKUP($C$8,Prijzen!$B$38:$T$41,P$31,FALSE)</f>
        <v>0.25105322301072142</v>
      </c>
      <c r="Q106" s="24">
        <f>VLOOKUP($C$8,Prijzen!$B$38:$T$41,Q$31,FALSE)</f>
        <v>0.25336582490831283</v>
      </c>
      <c r="R106" s="24">
        <f>VLOOKUP($C$8,Prijzen!$B$38:$T$41,R$31,FALSE)</f>
        <v>0.25572467884385602</v>
      </c>
      <c r="S106" s="24">
        <f>VLOOKUP($C$8,Prijzen!$B$38:$T$41,S$31,FALSE)</f>
        <v>0.23411230073066347</v>
      </c>
      <c r="T106" s="24">
        <f>VLOOKUP($C$8,Prijzen!$B$38:$T$41,T$31,FALSE)</f>
        <v>0.23411230073066347</v>
      </c>
      <c r="U106" s="24">
        <f>VLOOKUP($C$8,Prijzen!$B$38:$T$41,U$31,FALSE)</f>
        <v>0.23411230073066347</v>
      </c>
      <c r="V106" s="24">
        <f>VLOOKUP($C$8,Prijzen!$B$38:$T$41,V$31,FALSE)</f>
        <v>0.23411230073066347</v>
      </c>
      <c r="W106" s="24">
        <f>VLOOKUP($C$8,Prijzen!$B$38:$T$41,W$31,FALSE)</f>
        <v>0.23411230073066347</v>
      </c>
      <c r="X106" s="24">
        <f>VLOOKUP($C$8,Prijzen!$B$38:$T$41,X$31,FALSE)</f>
        <v>0.23411230073066347</v>
      </c>
      <c r="Y106" s="24">
        <f>VLOOKUP($C$8,Prijzen!$B$38:$T$41,Y$31,FALSE)</f>
        <v>0.23411230073066347</v>
      </c>
      <c r="Z106" s="24">
        <f>VLOOKUP($C$8,Prijzen!$B$38:$T$41,Z$31,FALSE)</f>
        <v>0.23411230073066347</v>
      </c>
      <c r="AA106" s="24">
        <f>VLOOKUP($C$8,Prijzen!$B$38:$T$41,AA$31,FALSE)</f>
        <v>0.23411230073066347</v>
      </c>
      <c r="AB106" s="24">
        <f>VLOOKUP($C$8,Prijzen!$B$38:$T$41,AB$31,FALSE)</f>
        <v>0.23411230073066347</v>
      </c>
      <c r="AC106" s="24"/>
      <c r="AD106" s="24">
        <f t="shared" si="11"/>
        <v>6.5524287577541047</v>
      </c>
    </row>
    <row r="107" spans="1:30" outlineLevel="1" x14ac:dyDescent="0.25">
      <c r="A107" t="s">
        <v>76</v>
      </c>
      <c r="B107" s="28">
        <f t="shared" ref="B107:AB107" si="48">B106/(B105/9.5)</f>
        <v>2.3410347528157796</v>
      </c>
      <c r="C107" s="28">
        <f t="shared" si="48"/>
        <v>2.0942577376837876</v>
      </c>
      <c r="D107" s="28">
        <f t="shared" si="48"/>
        <v>1.9249309817396774</v>
      </c>
      <c r="E107" s="28">
        <f t="shared" si="48"/>
        <v>1.8502096601323152</v>
      </c>
      <c r="F107" s="28">
        <f t="shared" si="48"/>
        <v>1.7463684310289247</v>
      </c>
      <c r="G107" s="28">
        <f t="shared" si="48"/>
        <v>1.7035545122001428</v>
      </c>
      <c r="H107" s="28">
        <f t="shared" si="48"/>
        <v>1.7119500139126518</v>
      </c>
      <c r="I107" s="28">
        <f t="shared" si="48"/>
        <v>1.7039444684039335</v>
      </c>
      <c r="J107" s="28">
        <f t="shared" si="48"/>
        <v>1.6959903977012178</v>
      </c>
      <c r="K107" s="28">
        <f t="shared" si="48"/>
        <v>1.6880888512870105</v>
      </c>
      <c r="L107" s="28">
        <f t="shared" si="48"/>
        <v>1.6802408443721761</v>
      </c>
      <c r="M107" s="28">
        <f t="shared" si="48"/>
        <v>1.6724473576075609</v>
      </c>
      <c r="N107" s="28">
        <f t="shared" si="48"/>
        <v>1.6647093368390338</v>
      </c>
      <c r="O107" s="28">
        <f t="shared" si="48"/>
        <v>1.657027692905501</v>
      </c>
      <c r="P107" s="28">
        <f t="shared" si="48"/>
        <v>1.6494033014793619</v>
      </c>
      <c r="Q107" s="28">
        <f t="shared" si="48"/>
        <v>1.6418370029487988</v>
      </c>
      <c r="R107" s="28">
        <f t="shared" si="48"/>
        <v>1.6343296023412266</v>
      </c>
      <c r="S107" s="28">
        <f t="shared" si="48"/>
        <v>1.7119500139126518</v>
      </c>
      <c r="T107" s="28">
        <f t="shared" si="48"/>
        <v>1.7119500139126518</v>
      </c>
      <c r="U107" s="28">
        <f t="shared" si="48"/>
        <v>1.7119500139126518</v>
      </c>
      <c r="V107" s="28">
        <f t="shared" si="48"/>
        <v>1.7119500139126518</v>
      </c>
      <c r="W107" s="28">
        <f t="shared" si="48"/>
        <v>1.7119500139126518</v>
      </c>
      <c r="X107" s="28">
        <f t="shared" si="48"/>
        <v>1.7119500139126518</v>
      </c>
      <c r="Y107" s="28">
        <f t="shared" si="48"/>
        <v>1.7119500139126518</v>
      </c>
      <c r="Z107" s="28">
        <f t="shared" si="48"/>
        <v>1.7119500139126518</v>
      </c>
      <c r="AA107" s="28">
        <f t="shared" si="48"/>
        <v>1.7119500139126518</v>
      </c>
      <c r="AB107" s="28">
        <f t="shared" si="48"/>
        <v>1.7119500139126518</v>
      </c>
      <c r="AC107" s="28"/>
      <c r="AD107" s="28">
        <f t="shared" si="11"/>
        <v>47.179825084525589</v>
      </c>
    </row>
    <row r="108" spans="1:30" outlineLevel="1" x14ac:dyDescent="0.25">
      <c r="A108" t="s">
        <v>77</v>
      </c>
      <c r="B108" s="9">
        <f>IFERROR(B102*Prijzen!$B$83+('Business case'!B101-'Business case'!B102)*'Business case'!B105,"")</f>
        <v>0</v>
      </c>
      <c r="C108" s="9">
        <f>IFERROR(C102*Prijzen!$B$83+('Business case'!C101-'Business case'!C102)*'Business case'!C105,"")</f>
        <v>0</v>
      </c>
      <c r="D108" s="9">
        <f>IFERROR(D102*Prijzen!$B$83+('Business case'!D101-'Business case'!D102)*'Business case'!D105,"")</f>
        <v>0</v>
      </c>
      <c r="E108" s="9">
        <f>IFERROR(E102*Prijzen!$B$83+('Business case'!E101-'Business case'!E102)*'Business case'!E105,"")</f>
        <v>0</v>
      </c>
      <c r="F108" s="9">
        <f>IFERROR(F102*Prijzen!$B$83+('Business case'!F101-'Business case'!F102)*'Business case'!F105,"")</f>
        <v>0</v>
      </c>
      <c r="G108" s="9">
        <f>IFERROR(G102*Prijzen!$B$83+('Business case'!G101-'Business case'!G102)*'Business case'!G105,"")</f>
        <v>0</v>
      </c>
      <c r="H108" s="9">
        <f>IFERROR(H102*Prijzen!$B$83+('Business case'!H101-'Business case'!H102)*'Business case'!H105,"")</f>
        <v>0</v>
      </c>
      <c r="I108" s="9">
        <f>IFERROR(I102*Prijzen!$B$83+('Business case'!I101-'Business case'!I102)*'Business case'!I105,"")</f>
        <v>0</v>
      </c>
      <c r="J108" s="9">
        <f>IFERROR(J102*Prijzen!$B$83+('Business case'!J101-'Business case'!J102)*'Business case'!J105,"")</f>
        <v>0</v>
      </c>
      <c r="K108" s="9">
        <f>IFERROR(K102*Prijzen!$B$83+('Business case'!K101-'Business case'!K102)*'Business case'!K105,"")</f>
        <v>0</v>
      </c>
      <c r="L108" s="9">
        <f>IFERROR(L102*Prijzen!$B$83+('Business case'!L101-'Business case'!L102)*'Business case'!L105,"")</f>
        <v>0</v>
      </c>
      <c r="M108" s="9">
        <f>IFERROR(M102*Prijzen!$B$83+('Business case'!M101-'Business case'!M102)*'Business case'!M105,"")</f>
        <v>0</v>
      </c>
      <c r="N108" s="9">
        <f>IFERROR(N102*Prijzen!$B$83+('Business case'!N101-'Business case'!N102)*'Business case'!N105,"")</f>
        <v>0</v>
      </c>
      <c r="O108" s="9">
        <f>IFERROR(O102*Prijzen!$B$83+('Business case'!O101-'Business case'!O102)*'Business case'!O105,"")</f>
        <v>0</v>
      </c>
      <c r="P108" s="9">
        <f>IFERROR(P102*Prijzen!$B$83+('Business case'!P101-'Business case'!P102)*'Business case'!P105,"")</f>
        <v>0</v>
      </c>
      <c r="Q108" s="9">
        <f>IFERROR(Q102*Prijzen!$B$83+('Business case'!Q101-'Business case'!Q102)*'Business case'!Q105,"")</f>
        <v>0</v>
      </c>
      <c r="R108" s="9">
        <f>IFERROR(R102*Prijzen!$B$83+('Business case'!R101-'Business case'!R102)*'Business case'!R105,"")</f>
        <v>0</v>
      </c>
      <c r="S108" s="9">
        <f>IFERROR(S102*Prijzen!$B$83+('Business case'!S101-'Business case'!S102)*'Business case'!S105,"")</f>
        <v>0</v>
      </c>
      <c r="T108" s="9">
        <f>IFERROR(T102*Prijzen!$B$83+('Business case'!T101-'Business case'!T102)*'Business case'!T105,"")</f>
        <v>0</v>
      </c>
      <c r="U108" s="9">
        <f>IFERROR(U102*Prijzen!$B$83+('Business case'!U101-'Business case'!U102)*'Business case'!U105,"")</f>
        <v>0</v>
      </c>
      <c r="V108" s="9">
        <f>IFERROR(V102*Prijzen!$B$83+('Business case'!V101-'Business case'!V102)*'Business case'!V105,"")</f>
        <v>0</v>
      </c>
      <c r="W108" s="9">
        <f>IFERROR(W102*Prijzen!$B$83+('Business case'!W101-'Business case'!W102)*'Business case'!W105,"")</f>
        <v>0</v>
      </c>
      <c r="X108" s="9">
        <f>IFERROR(X102*Prijzen!$B$83+('Business case'!X101-'Business case'!X102)*'Business case'!X105,"")</f>
        <v>0</v>
      </c>
      <c r="Y108" s="9">
        <f>IFERROR(Y102*Prijzen!$B$83+('Business case'!Y101-'Business case'!Y102)*'Business case'!Y105,"")</f>
        <v>0</v>
      </c>
      <c r="Z108" s="9">
        <f>IFERROR(Z102*Prijzen!$B$83+('Business case'!Z101-'Business case'!Z102)*'Business case'!Z105,"")</f>
        <v>0</v>
      </c>
      <c r="AA108" s="9">
        <f>IFERROR(AA102*Prijzen!$B$83+('Business case'!AA101-'Business case'!AA102)*'Business case'!AA105,"")</f>
        <v>0</v>
      </c>
      <c r="AB108" s="9">
        <f>IFERROR(AB102*Prijzen!$B$83+('Business case'!AB101-'Business case'!AB102)*'Business case'!AB105,"")</f>
        <v>0</v>
      </c>
      <c r="AC108" s="9"/>
      <c r="AD108" s="9">
        <f t="shared" si="11"/>
        <v>0</v>
      </c>
    </row>
    <row r="109" spans="1:30" outlineLevel="1" x14ac:dyDescent="0.25">
      <c r="A109" t="s">
        <v>78</v>
      </c>
      <c r="B109" s="9">
        <f>IFERROR(B104*Prijzen!$C$83+('Business case'!B103-'Business case'!B104)*'Business case'!B106,"")</f>
        <v>0</v>
      </c>
      <c r="C109" s="9">
        <f>IFERROR(C104*Prijzen!$C$83+('Business case'!C103-'Business case'!C104)*'Business case'!C106,"")</f>
        <v>400.61323788515745</v>
      </c>
      <c r="D109" s="9">
        <f>IFERROR(D104*Prijzen!$C$83+('Business case'!D103-'Business case'!D104)*'Business case'!D106,"")</f>
        <v>361.52407442445576</v>
      </c>
      <c r="E109" s="9">
        <f>IFERROR(E104*Prijzen!$C$83+('Business case'!E103-'Business case'!E104)*'Business case'!E106,"")</f>
        <v>343.00370126358001</v>
      </c>
      <c r="F109" s="9">
        <f>IFERROR(F104*Prijzen!$C$83+('Business case'!F103-'Business case'!F104)*'Business case'!F106,"")</f>
        <v>326.28824894664365</v>
      </c>
      <c r="G109" s="9">
        <f>IFERROR(G104*Prijzen!$C$83+('Business case'!G103-'Business case'!G104)*'Business case'!G106,"")</f>
        <v>329.94719040574302</v>
      </c>
      <c r="H109" s="9">
        <f>IFERROR(H104*Prijzen!$C$83+('Business case'!H103-'Business case'!H104)*'Business case'!H106,"")</f>
        <v>339.94861908347815</v>
      </c>
      <c r="I109" s="9">
        <f>IFERROR(I104*Prijzen!$C$83+('Business case'!I103-'Business case'!I104)*'Business case'!I106,"")</f>
        <v>342.81470068952689</v>
      </c>
      <c r="J109" s="9">
        <f>IFERROR(J104*Prijzen!$C$83+('Business case'!J103-'Business case'!J104)*'Business case'!J106,"")</f>
        <v>345.73810392769661</v>
      </c>
      <c r="K109" s="9">
        <f>IFERROR(K104*Prijzen!$C$83+('Business case'!K103-'Business case'!K104)*'Business case'!K106,"")</f>
        <v>348.7199752306297</v>
      </c>
      <c r="L109" s="9">
        <f>IFERROR(L104*Prijzen!$C$83+('Business case'!L103-'Business case'!L104)*'Business case'!L106,"")</f>
        <v>351.76148395962144</v>
      </c>
      <c r="M109" s="9">
        <f>IFERROR(M104*Prijzen!$C$83+('Business case'!M103-'Business case'!M104)*'Business case'!M106,"")</f>
        <v>354.86382286319304</v>
      </c>
      <c r="N109" s="9">
        <f>IFERROR(N104*Prijzen!$C$83+('Business case'!N103-'Business case'!N104)*'Business case'!N106,"")</f>
        <v>358.02820854483605</v>
      </c>
      <c r="O109" s="9">
        <f>IFERROR(O104*Prijzen!$C$83+('Business case'!O103-'Business case'!O104)*'Business case'!O106,"")</f>
        <v>361.25588194011192</v>
      </c>
      <c r="P109" s="9">
        <f>IFERROR(P104*Prijzen!$C$83+('Business case'!P103-'Business case'!P104)*'Business case'!P106,"")</f>
        <v>364.5481088032933</v>
      </c>
      <c r="Q109" s="9">
        <f>IFERROR(Q104*Prijzen!$C$83+('Business case'!Q103-'Business case'!Q104)*'Business case'!Q106,"")</f>
        <v>367.90618020373836</v>
      </c>
      <c r="R109" s="9">
        <f>IFERROR(R104*Prijzen!$C$83+('Business case'!R103-'Business case'!R104)*'Business case'!R106,"")</f>
        <v>0</v>
      </c>
      <c r="S109" s="9">
        <f>IFERROR(S104*Prijzen!$C$83+('Business case'!S103-'Business case'!S104)*'Business case'!S106,"")</f>
        <v>0</v>
      </c>
      <c r="T109" s="9">
        <f>IFERROR(T104*Prijzen!$C$83+('Business case'!T103-'Business case'!T104)*'Business case'!T106,"")</f>
        <v>0</v>
      </c>
      <c r="U109" s="9">
        <f>IFERROR(U104*Prijzen!$C$83+('Business case'!U103-'Business case'!U104)*'Business case'!U106,"")</f>
        <v>0</v>
      </c>
      <c r="V109" s="9">
        <f>IFERROR(V104*Prijzen!$C$83+('Business case'!V103-'Business case'!V104)*'Business case'!V106,"")</f>
        <v>0</v>
      </c>
      <c r="W109" s="9">
        <f>IFERROR(W104*Prijzen!$C$83+('Business case'!W103-'Business case'!W104)*'Business case'!W106,"")</f>
        <v>0</v>
      </c>
      <c r="X109" s="9">
        <f>IFERROR(X104*Prijzen!$C$83+('Business case'!X103-'Business case'!X104)*'Business case'!X106,"")</f>
        <v>0</v>
      </c>
      <c r="Y109" s="9">
        <f>IFERROR(Y104*Prijzen!$C$83+('Business case'!Y103-'Business case'!Y104)*'Business case'!Y106,"")</f>
        <v>0</v>
      </c>
      <c r="Z109" s="9">
        <f>IFERROR(Z104*Prijzen!$C$83+('Business case'!Z103-'Business case'!Z104)*'Business case'!Z106,"")</f>
        <v>0</v>
      </c>
      <c r="AA109" s="9">
        <f>IFERROR(AA104*Prijzen!$C$83+('Business case'!AA103-'Business case'!AA104)*'Business case'!AA106,"")</f>
        <v>0</v>
      </c>
      <c r="AB109" s="9">
        <f>IFERROR(AB104*Prijzen!$C$83+('Business case'!AB103-'Business case'!AB104)*'Business case'!AB106,"")</f>
        <v>0</v>
      </c>
      <c r="AC109" s="9"/>
      <c r="AD109" s="9">
        <f t="shared" si="11"/>
        <v>5296.9615381717049</v>
      </c>
    </row>
    <row r="110" spans="1:30" outlineLevel="1" x14ac:dyDescent="0.25">
      <c r="A110" t="s">
        <v>70</v>
      </c>
      <c r="B110" s="9">
        <f>IF($C$4=100%,0,B39)</f>
        <v>0</v>
      </c>
      <c r="C110" s="9">
        <f t="shared" ref="C110:AB110" si="49">IF($C$4=100%,0,C39)</f>
        <v>0</v>
      </c>
      <c r="D110" s="9">
        <f t="shared" si="49"/>
        <v>0</v>
      </c>
      <c r="E110" s="9">
        <f t="shared" si="49"/>
        <v>0</v>
      </c>
      <c r="F110" s="9">
        <f t="shared" si="49"/>
        <v>0</v>
      </c>
      <c r="G110" s="9">
        <f t="shared" si="49"/>
        <v>0</v>
      </c>
      <c r="H110" s="9">
        <f t="shared" si="49"/>
        <v>0</v>
      </c>
      <c r="I110" s="9">
        <f t="shared" si="49"/>
        <v>0</v>
      </c>
      <c r="J110" s="9">
        <f t="shared" si="49"/>
        <v>0</v>
      </c>
      <c r="K110" s="9">
        <f t="shared" si="49"/>
        <v>0</v>
      </c>
      <c r="L110" s="9">
        <f t="shared" si="49"/>
        <v>0</v>
      </c>
      <c r="M110" s="9">
        <f t="shared" si="49"/>
        <v>0</v>
      </c>
      <c r="N110" s="9">
        <f t="shared" si="49"/>
        <v>0</v>
      </c>
      <c r="O110" s="9">
        <f t="shared" si="49"/>
        <v>0</v>
      </c>
      <c r="P110" s="9">
        <f t="shared" si="49"/>
        <v>0</v>
      </c>
      <c r="Q110" s="9">
        <f t="shared" si="49"/>
        <v>0</v>
      </c>
      <c r="R110" s="9">
        <f t="shared" si="49"/>
        <v>0</v>
      </c>
      <c r="S110" s="9">
        <f t="shared" si="49"/>
        <v>0</v>
      </c>
      <c r="T110" s="9">
        <f t="shared" si="49"/>
        <v>0</v>
      </c>
      <c r="U110" s="9">
        <f t="shared" si="49"/>
        <v>0</v>
      </c>
      <c r="V110" s="9">
        <f t="shared" si="49"/>
        <v>0</v>
      </c>
      <c r="W110" s="9">
        <f t="shared" si="49"/>
        <v>0</v>
      </c>
      <c r="X110" s="9">
        <f t="shared" si="49"/>
        <v>0</v>
      </c>
      <c r="Y110" s="9">
        <f t="shared" si="49"/>
        <v>0</v>
      </c>
      <c r="Z110" s="9">
        <f t="shared" si="49"/>
        <v>0</v>
      </c>
      <c r="AA110" s="9">
        <f t="shared" si="49"/>
        <v>0</v>
      </c>
      <c r="AB110" s="9">
        <f t="shared" si="49"/>
        <v>0</v>
      </c>
      <c r="AC110" s="9"/>
      <c r="AD110" s="9">
        <f t="shared" si="11"/>
        <v>0</v>
      </c>
    </row>
    <row r="111" spans="1:30" outlineLevel="1" x14ac:dyDescent="0.25">
      <c r="A111" t="s">
        <v>21</v>
      </c>
      <c r="B111" s="9">
        <f t="shared" ref="B111:AB111" si="50">IF($C$4=100%,0,B68)</f>
        <v>0</v>
      </c>
      <c r="C111" s="9">
        <f t="shared" si="50"/>
        <v>0</v>
      </c>
      <c r="D111" s="9">
        <f t="shared" si="50"/>
        <v>0</v>
      </c>
      <c r="E111" s="9">
        <f t="shared" si="50"/>
        <v>0</v>
      </c>
      <c r="F111" s="9">
        <f t="shared" si="50"/>
        <v>0</v>
      </c>
      <c r="G111" s="9">
        <f t="shared" si="50"/>
        <v>0</v>
      </c>
      <c r="H111" s="9">
        <f t="shared" si="50"/>
        <v>0</v>
      </c>
      <c r="I111" s="9">
        <f t="shared" si="50"/>
        <v>0</v>
      </c>
      <c r="J111" s="9">
        <f t="shared" si="50"/>
        <v>0</v>
      </c>
      <c r="K111" s="9">
        <f t="shared" si="50"/>
        <v>0</v>
      </c>
      <c r="L111" s="9">
        <f t="shared" si="50"/>
        <v>0</v>
      </c>
      <c r="M111" s="9">
        <f t="shared" si="50"/>
        <v>0</v>
      </c>
      <c r="N111" s="9">
        <f t="shared" si="50"/>
        <v>0</v>
      </c>
      <c r="O111" s="9">
        <f t="shared" si="50"/>
        <v>0</v>
      </c>
      <c r="P111" s="9">
        <f t="shared" si="50"/>
        <v>0</v>
      </c>
      <c r="Q111" s="9">
        <f t="shared" si="50"/>
        <v>0</v>
      </c>
      <c r="R111" s="9">
        <f t="shared" si="50"/>
        <v>0</v>
      </c>
      <c r="S111" s="9">
        <f t="shared" si="50"/>
        <v>0</v>
      </c>
      <c r="T111" s="9">
        <f t="shared" si="50"/>
        <v>0</v>
      </c>
      <c r="U111" s="9">
        <f t="shared" si="50"/>
        <v>0</v>
      </c>
      <c r="V111" s="9">
        <f t="shared" si="50"/>
        <v>0</v>
      </c>
      <c r="W111" s="9">
        <f t="shared" si="50"/>
        <v>0</v>
      </c>
      <c r="X111" s="9">
        <f t="shared" si="50"/>
        <v>0</v>
      </c>
      <c r="Y111" s="9">
        <f t="shared" si="50"/>
        <v>0</v>
      </c>
      <c r="Z111" s="9">
        <f t="shared" si="50"/>
        <v>0</v>
      </c>
      <c r="AA111" s="9">
        <f t="shared" si="50"/>
        <v>0</v>
      </c>
      <c r="AB111" s="9">
        <f t="shared" si="50"/>
        <v>0</v>
      </c>
      <c r="AC111" s="9"/>
      <c r="AD111" s="9">
        <f t="shared" si="11"/>
        <v>0</v>
      </c>
    </row>
    <row r="112" spans="1:30" outlineLevel="1" x14ac:dyDescent="0.25">
      <c r="A112" t="s">
        <v>71</v>
      </c>
      <c r="B112" s="9">
        <f>IF(B$33="JA",IF($C$4="100"%,0,Prijzen!D104),0)</f>
        <v>0</v>
      </c>
      <c r="C112" s="9">
        <f>IF(C$33="JA",IF($C$4="100"%,0,Prijzen!E104),0)</f>
        <v>0</v>
      </c>
      <c r="D112" s="9">
        <f>IF(D$33="JA",IF($C$4="100"%,0,Prijzen!F104),0)</f>
        <v>0</v>
      </c>
      <c r="E112" s="9">
        <f>IF(E$33="JA",IF($C$4="100"%,0,Prijzen!G104),0)</f>
        <v>0</v>
      </c>
      <c r="F112" s="9">
        <f>IF(F$33="JA",IF($C$4="100"%,0,Prijzen!H104),0)</f>
        <v>0</v>
      </c>
      <c r="G112" s="9">
        <f>IF(G$33="JA",IF($C$4="100"%,0,Prijzen!I104),0)</f>
        <v>0</v>
      </c>
      <c r="H112" s="9">
        <f>IF(H$33="JA",IF($C$4="100"%,0,Prijzen!J104),0)</f>
        <v>0</v>
      </c>
      <c r="I112" s="9">
        <f>IF(I$33="JA",IF($C$4="100"%,0,Prijzen!K104),0)</f>
        <v>0</v>
      </c>
      <c r="J112" s="9">
        <f>IF(J$33="JA",IF($C$4="100"%,0,Prijzen!L104),0)</f>
        <v>0</v>
      </c>
      <c r="K112" s="9">
        <f>IF(K$33="JA",IF($C$4="100"%,0,Prijzen!M104),0)</f>
        <v>0</v>
      </c>
      <c r="L112" s="9">
        <f>IF(L$33="JA",IF($C$4="100"%,0,Prijzen!N104),0)</f>
        <v>0</v>
      </c>
      <c r="M112" s="9">
        <f>IF(M$33="JA",IF($C$4="100"%,0,Prijzen!O104),0)</f>
        <v>0</v>
      </c>
      <c r="N112" s="9">
        <f>IF(N$33="JA",IF($C$4="100"%,0,Prijzen!P104),0)</f>
        <v>0</v>
      </c>
      <c r="O112" s="9">
        <f>IF(O$33="JA",IF($C$4="100"%,0,Prijzen!Q104),0)</f>
        <v>0</v>
      </c>
      <c r="P112" s="9">
        <f>IF(P$33="JA",IF($C$4="100"%,0,Prijzen!R104),0)</f>
        <v>0</v>
      </c>
      <c r="Q112" s="9">
        <f>IF(Q$33="JA",IF($C$4="100"%,0,Prijzen!S104),0)</f>
        <v>0</v>
      </c>
      <c r="R112" s="9">
        <f>IF(R$33="JA",IF($C$4="100"%,0,Prijzen!T104),0)</f>
        <v>0</v>
      </c>
      <c r="S112" s="9">
        <f>IF(S$33="JA",IF($C$4="100"%,0,Prijzen!U104),0)</f>
        <v>0</v>
      </c>
      <c r="T112" s="9">
        <f>IF(T$33="JA",IF($C$4="100"%,0,Prijzen!V104),0)</f>
        <v>0</v>
      </c>
      <c r="U112" s="9">
        <f>IF(U$33="JA",IF($C$4="100"%,0,Prijzen!W104),0)</f>
        <v>0</v>
      </c>
      <c r="V112" s="9">
        <f>IF(V$33="JA",IF($C$4="100"%,0,Prijzen!X104),0)</f>
        <v>0</v>
      </c>
      <c r="W112" s="9">
        <f>IF(W$33="JA",IF($C$4="100"%,0,Prijzen!Y104),0)</f>
        <v>0</v>
      </c>
      <c r="X112" s="9">
        <f>IF(X$33="JA",IF($C$4="100"%,0,Prijzen!Z104),0)</f>
        <v>0</v>
      </c>
      <c r="Y112" s="9">
        <f>IF(Y$33="JA",IF($C$4="100"%,0,Prijzen!AA104),0)</f>
        <v>0</v>
      </c>
      <c r="Z112" s="9">
        <f>IF(Z$33="JA",IF($C$4="100"%,0,Prijzen!AB104),0)</f>
        <v>0</v>
      </c>
      <c r="AA112" s="9">
        <f>IF(AA$33="JA",IF($C$4="100"%,0,Prijzen!AC104),0)</f>
        <v>0</v>
      </c>
      <c r="AB112" s="9">
        <f>IF(AB$33="JA",IF($C$4="100"%,0,Prijzen!AD104),0)</f>
        <v>0</v>
      </c>
      <c r="AC112" s="9"/>
      <c r="AD112" s="9">
        <f t="shared" si="11"/>
        <v>0</v>
      </c>
    </row>
    <row r="113" spans="1:30" outlineLevel="1" x14ac:dyDescent="0.25">
      <c r="A113" t="s">
        <v>79</v>
      </c>
      <c r="B113" s="9">
        <f t="shared" ref="B113:AB113" si="51">IF(B$33="JA",-PMT($E$17,15,$E$15,0,1),0)</f>
        <v>0</v>
      </c>
      <c r="C113" s="9">
        <f t="shared" si="51"/>
        <v>1684.1826990206262</v>
      </c>
      <c r="D113" s="9">
        <f t="shared" si="51"/>
        <v>1684.1826990206262</v>
      </c>
      <c r="E113" s="9">
        <f t="shared" si="51"/>
        <v>1684.1826990206262</v>
      </c>
      <c r="F113" s="9">
        <f t="shared" si="51"/>
        <v>1684.1826990206262</v>
      </c>
      <c r="G113" s="9">
        <f t="shared" si="51"/>
        <v>1684.1826990206262</v>
      </c>
      <c r="H113" s="9">
        <f t="shared" si="51"/>
        <v>1684.1826990206262</v>
      </c>
      <c r="I113" s="9">
        <f t="shared" si="51"/>
        <v>1684.1826990206262</v>
      </c>
      <c r="J113" s="9">
        <f t="shared" si="51"/>
        <v>1684.1826990206262</v>
      </c>
      <c r="K113" s="9">
        <f t="shared" si="51"/>
        <v>1684.1826990206262</v>
      </c>
      <c r="L113" s="9">
        <f t="shared" si="51"/>
        <v>1684.1826990206262</v>
      </c>
      <c r="M113" s="9">
        <f t="shared" si="51"/>
        <v>1684.1826990206262</v>
      </c>
      <c r="N113" s="9">
        <f t="shared" si="51"/>
        <v>1684.1826990206262</v>
      </c>
      <c r="O113" s="9">
        <f t="shared" si="51"/>
        <v>1684.1826990206262</v>
      </c>
      <c r="P113" s="9">
        <f t="shared" si="51"/>
        <v>1684.1826990206262</v>
      </c>
      <c r="Q113" s="9">
        <f t="shared" si="51"/>
        <v>1684.1826990206262</v>
      </c>
      <c r="R113" s="9">
        <f t="shared" si="51"/>
        <v>0</v>
      </c>
      <c r="S113" s="9">
        <f t="shared" si="51"/>
        <v>0</v>
      </c>
      <c r="T113" s="9">
        <f t="shared" si="51"/>
        <v>0</v>
      </c>
      <c r="U113" s="9">
        <f t="shared" si="51"/>
        <v>0</v>
      </c>
      <c r="V113" s="9">
        <f t="shared" si="51"/>
        <v>0</v>
      </c>
      <c r="W113" s="9">
        <f t="shared" si="51"/>
        <v>0</v>
      </c>
      <c r="X113" s="9">
        <f t="shared" si="51"/>
        <v>0</v>
      </c>
      <c r="Y113" s="9">
        <f t="shared" si="51"/>
        <v>0</v>
      </c>
      <c r="Z113" s="9">
        <f t="shared" si="51"/>
        <v>0</v>
      </c>
      <c r="AA113" s="9">
        <f t="shared" si="51"/>
        <v>0</v>
      </c>
      <c r="AB113" s="9">
        <f t="shared" si="51"/>
        <v>0</v>
      </c>
      <c r="AC113" s="9"/>
      <c r="AD113" s="9">
        <f t="shared" si="11"/>
        <v>25262.740485309383</v>
      </c>
    </row>
    <row r="114" spans="1:30" outlineLevel="1" x14ac:dyDescent="0.25">
      <c r="A114" t="s">
        <v>27</v>
      </c>
      <c r="B114" s="9">
        <f>IF(B$33="JA",Kengetallen!$B$62*(1+Kengetallen!$B$2)^'Business case'!B$32,0)</f>
        <v>0</v>
      </c>
      <c r="C114" s="9">
        <f>IF(C$33="JA",Kengetallen!$B$62*(1+Kengetallen!$B$2)^'Business case'!C$32,0)</f>
        <v>153</v>
      </c>
      <c r="D114" s="9">
        <f>IF(D$33="JA",Kengetallen!$B$62*(1+Kengetallen!$B$2)^'Business case'!D$32,0)</f>
        <v>156.06</v>
      </c>
      <c r="E114" s="9">
        <f>IF(E$33="JA",Kengetallen!$B$62*(1+Kengetallen!$B$2)^'Business case'!E$32,0)</f>
        <v>159.18119999999999</v>
      </c>
      <c r="F114" s="9">
        <f>IF(F$33="JA",Kengetallen!$B$62*(1+Kengetallen!$B$2)^'Business case'!F$32,0)</f>
        <v>162.364824</v>
      </c>
      <c r="G114" s="9">
        <f>IF(G$33="JA",Kengetallen!$B$62*(1+Kengetallen!$B$2)^'Business case'!G$32,0)</f>
        <v>165.61212048000002</v>
      </c>
      <c r="H114" s="9">
        <f>IF(H$33="JA",Kengetallen!$B$62*(1+Kengetallen!$B$2)^'Business case'!H$32,0)</f>
        <v>168.92436288960002</v>
      </c>
      <c r="I114" s="9">
        <f>IF(I$33="JA",Kengetallen!$B$62*(1+Kengetallen!$B$2)^'Business case'!I$32,0)</f>
        <v>172.30285014739198</v>
      </c>
      <c r="J114" s="9">
        <f>IF(J$33="JA",Kengetallen!$B$62*(1+Kengetallen!$B$2)^'Business case'!J$32,0)</f>
        <v>175.74890715033982</v>
      </c>
      <c r="K114" s="9">
        <f>IF(K$33="JA",Kengetallen!$B$62*(1+Kengetallen!$B$2)^'Business case'!K$32,0)</f>
        <v>179.26388529334662</v>
      </c>
      <c r="L114" s="9">
        <f>IF(L$33="JA",Kengetallen!$B$62*(1+Kengetallen!$B$2)^'Business case'!L$32,0)</f>
        <v>182.84916299921358</v>
      </c>
      <c r="M114" s="9">
        <f>IF(M$33="JA",Kengetallen!$B$62*(1+Kengetallen!$B$2)^'Business case'!M$32,0)</f>
        <v>186.50614625919781</v>
      </c>
      <c r="N114" s="9">
        <f>IF(N$33="JA",Kengetallen!$B$62*(1+Kengetallen!$B$2)^'Business case'!N$32,0)</f>
        <v>190.2362691843818</v>
      </c>
      <c r="O114" s="9">
        <f>IF(O$33="JA",Kengetallen!$B$62*(1+Kengetallen!$B$2)^'Business case'!O$32,0)</f>
        <v>194.04099456806941</v>
      </c>
      <c r="P114" s="9">
        <f>IF(P$33="JA",Kengetallen!$B$62*(1+Kengetallen!$B$2)^'Business case'!P$32,0)</f>
        <v>197.92181445943083</v>
      </c>
      <c r="Q114" s="9">
        <f>IF(Q$33="JA",Kengetallen!$B$62*(1+Kengetallen!$B$2)^'Business case'!Q$32,0)</f>
        <v>201.88025074861937</v>
      </c>
      <c r="R114" s="9">
        <f>IF(R$33="JA",Kengetallen!$B$62*(1+Kengetallen!$B$2)^'Business case'!R$32,0)</f>
        <v>0</v>
      </c>
      <c r="S114" s="9">
        <f>IF(S$33="JA",Kengetallen!$B$62*(1+Kengetallen!$B$2)^'Business case'!S$32,0)</f>
        <v>0</v>
      </c>
      <c r="T114" s="9">
        <f>IF(T$33="JA",Kengetallen!$B$62*(1+Kengetallen!$B$2)^'Business case'!T$32,0)</f>
        <v>0</v>
      </c>
      <c r="U114" s="9">
        <f>IF(U$33="JA",Kengetallen!$B$62*(1+Kengetallen!$B$2)^'Business case'!U$32,0)</f>
        <v>0</v>
      </c>
      <c r="V114" s="9">
        <f>IF(V$33="JA",Kengetallen!$B$62*(1+Kengetallen!$B$2)^'Business case'!V$32,0)</f>
        <v>0</v>
      </c>
      <c r="W114" s="9">
        <f>IF(W$33="JA",Kengetallen!$B$62*(1+Kengetallen!$B$2)^'Business case'!W$32,0)</f>
        <v>0</v>
      </c>
      <c r="X114" s="9">
        <f>IF(X$33="JA",Kengetallen!$B$62*(1+Kengetallen!$B$2)^'Business case'!X$32,0)</f>
        <v>0</v>
      </c>
      <c r="Y114" s="9">
        <f>IF(Y$33="JA",Kengetallen!$B$62*(1+Kengetallen!$B$2)^'Business case'!Y$32,0)</f>
        <v>0</v>
      </c>
      <c r="Z114" s="9">
        <f>IF(Z$33="JA",Kengetallen!$B$62*(1+Kengetallen!$B$2)^'Business case'!Z$32,0)</f>
        <v>0</v>
      </c>
      <c r="AA114" s="9">
        <f>IF(AA$33="JA",Kengetallen!$B$62*(1+Kengetallen!$B$2)^'Business case'!AA$32,0)</f>
        <v>0</v>
      </c>
      <c r="AB114" s="9">
        <f>IF(AB$33="JA",Kengetallen!$B$62*(1+Kengetallen!$B$2)^'Business case'!AB$32,0)</f>
        <v>0</v>
      </c>
      <c r="AC114" s="9"/>
      <c r="AD114" s="9">
        <f t="shared" si="11"/>
        <v>2645.8927881795912</v>
      </c>
    </row>
    <row r="115" spans="1:30" outlineLevel="1" x14ac:dyDescent="0.25">
      <c r="A115" t="s">
        <v>80</v>
      </c>
      <c r="B115" s="25">
        <f>IF(B$33="JA",($E$19+$C$7)*(1+Kengetallen!$B$19)^B32,0)</f>
        <v>0</v>
      </c>
      <c r="C115" s="25">
        <f>IF(C$33="JA",($E$19+$C$7)*(1+Kengetallen!$B$19)^C32,0)</f>
        <v>1441.9104750000001</v>
      </c>
      <c r="D115" s="25">
        <f>IF(D$33="JA",($E$19+$C$7)*(1+Kengetallen!$B$19)^D32,0)</f>
        <v>1431.817101675</v>
      </c>
      <c r="E115" s="25">
        <f>IF(E$33="JA",($E$19+$C$7)*(1+Kengetallen!$B$19)^E32,0)</f>
        <v>1421.7943819632749</v>
      </c>
      <c r="F115" s="25">
        <f>IF(F$33="JA",($E$19+$C$7)*(1+Kengetallen!$B$19)^F32,0)</f>
        <v>1411.8418212895319</v>
      </c>
      <c r="G115" s="25">
        <f>IF(G$33="JA",($E$19+$C$7)*(1+Kengetallen!$B$19)^G32,0)</f>
        <v>1401.9589285405052</v>
      </c>
      <c r="H115" s="25">
        <f>IF(H$33="JA",($E$19+$C$7)*(1+Kengetallen!$B$19)^H32,0)</f>
        <v>1392.1452160407216</v>
      </c>
      <c r="I115" s="25">
        <f>IF(I$33="JA",($E$19+$C$7)*(1+Kengetallen!$B$19)^I32,0)</f>
        <v>1382.4001995284366</v>
      </c>
      <c r="J115" s="25">
        <f>IF(J$33="JA",($E$19+$C$7)*(1+Kengetallen!$B$19)^J32,0)</f>
        <v>1372.7233981317374</v>
      </c>
      <c r="K115" s="25">
        <f>IF(K$33="JA",($E$19+$C$7)*(1+Kengetallen!$B$19)^K32,0)</f>
        <v>1363.1143343448152</v>
      </c>
      <c r="L115" s="25">
        <f>IF(L$33="JA",($E$19+$C$7)*(1+Kengetallen!$B$19)^L32,0)</f>
        <v>1353.5725340044016</v>
      </c>
      <c r="M115" s="25">
        <f>IF(M$33="JA",($E$19+$C$7)*(1+Kengetallen!$B$19)^M32,0)</f>
        <v>1344.0975262663706</v>
      </c>
      <c r="N115" s="25">
        <f>IF(N$33="JA",($E$19+$C$7)*(1+Kengetallen!$B$19)^N32,0)</f>
        <v>1334.688843582506</v>
      </c>
      <c r="O115" s="25">
        <f>IF(O$33="JA",($E$19+$C$7)*(1+Kengetallen!$B$19)^O32,0)</f>
        <v>1325.3460216774286</v>
      </c>
      <c r="P115" s="25">
        <f>IF(P$33="JA",($E$19+$C$7)*(1+Kengetallen!$B$19)^P32,0)</f>
        <v>1316.0685995256865</v>
      </c>
      <c r="Q115" s="25">
        <f>IF(Q$33="JA",($E$19+$C$7)*(1+Kengetallen!$B$19)^Q32,0)</f>
        <v>1306.8561193290066</v>
      </c>
      <c r="R115" s="25">
        <f>IF(R$33="JA",($E$19+$C$7)*(1+Kengetallen!$B$19)^R32,0)</f>
        <v>0</v>
      </c>
      <c r="S115" s="25">
        <f>IF(S$33="JA",($E$19+$C$7)*(1+Kengetallen!$B$19)^S32,0)</f>
        <v>0</v>
      </c>
      <c r="T115" s="25">
        <f>IF(T$33="JA",($E$19+$C$7)*(1+Kengetallen!$B$19)^T32,0)</f>
        <v>0</v>
      </c>
      <c r="U115" s="25">
        <f>IF(U$33="JA",($E$19+$C$7)*(1+Kengetallen!$B$19)^U32,0)</f>
        <v>0</v>
      </c>
      <c r="V115" s="25">
        <f>IF(V$33="JA",($E$19+$C$7)*(1+Kengetallen!$B$19)^V32,0)</f>
        <v>0</v>
      </c>
      <c r="W115" s="25">
        <f>IF(W$33="JA",($E$19+$C$7)*(1+Kengetallen!$B$19)^W32,0)</f>
        <v>0</v>
      </c>
      <c r="X115" s="25">
        <f>IF(X$33="JA",($E$19+$C$7)*(1+Kengetallen!$B$19)^X32,0)</f>
        <v>0</v>
      </c>
      <c r="Y115" s="25">
        <f>IF(Y$33="JA",($E$19+$C$7)*(1+Kengetallen!$B$19)^Y32,0)</f>
        <v>0</v>
      </c>
      <c r="Z115" s="25">
        <f>IF(Z$33="JA",($E$19+$C$7)*(1+Kengetallen!$B$19)^Z32,0)</f>
        <v>0</v>
      </c>
      <c r="AA115" s="25">
        <f>IF(AA$33="JA",($E$19+$C$7)*(1+Kengetallen!$B$19)^AA32,0)</f>
        <v>0</v>
      </c>
      <c r="AB115" s="25">
        <f>IF(AB$33="JA",($E$19+$C$7)*(1+Kengetallen!$B$19)^AB32,0)</f>
        <v>0</v>
      </c>
      <c r="AC115" s="25"/>
      <c r="AD115" s="25">
        <f t="shared" si="11"/>
        <v>20600.335500899422</v>
      </c>
    </row>
    <row r="116" spans="1:30" outlineLevel="1" x14ac:dyDescent="0.25">
      <c r="A116" t="s">
        <v>81</v>
      </c>
      <c r="B116" s="25">
        <f t="shared" ref="B116:AB116" si="52">IF(B$33="JA",B115*$E$16,0)</f>
        <v>0</v>
      </c>
      <c r="C116" s="25">
        <f t="shared" si="52"/>
        <v>576.7641900000001</v>
      </c>
      <c r="D116" s="25">
        <f t="shared" si="52"/>
        <v>572.72684067</v>
      </c>
      <c r="E116" s="25">
        <f t="shared" si="52"/>
        <v>568.71775278530993</v>
      </c>
      <c r="F116" s="25">
        <f t="shared" si="52"/>
        <v>564.73672851581284</v>
      </c>
      <c r="G116" s="25">
        <f t="shared" si="52"/>
        <v>560.78357141620211</v>
      </c>
      <c r="H116" s="25">
        <f t="shared" si="52"/>
        <v>556.85808641628864</v>
      </c>
      <c r="I116" s="25">
        <f t="shared" si="52"/>
        <v>552.96007981137461</v>
      </c>
      <c r="J116" s="25">
        <f t="shared" si="52"/>
        <v>549.08935925269498</v>
      </c>
      <c r="K116" s="25">
        <f t="shared" si="52"/>
        <v>545.24573373792612</v>
      </c>
      <c r="L116" s="25">
        <f t="shared" si="52"/>
        <v>541.42901360176063</v>
      </c>
      <c r="M116" s="25">
        <f t="shared" si="52"/>
        <v>537.63901050654829</v>
      </c>
      <c r="N116" s="25">
        <f t="shared" si="52"/>
        <v>533.87553743300248</v>
      </c>
      <c r="O116" s="25">
        <f t="shared" si="52"/>
        <v>530.13840867097144</v>
      </c>
      <c r="P116" s="25">
        <f t="shared" si="52"/>
        <v>526.42743981027468</v>
      </c>
      <c r="Q116" s="25">
        <f t="shared" si="52"/>
        <v>522.74244773160262</v>
      </c>
      <c r="R116" s="25">
        <f t="shared" si="52"/>
        <v>0</v>
      </c>
      <c r="S116" s="25">
        <f t="shared" si="52"/>
        <v>0</v>
      </c>
      <c r="T116" s="25">
        <f t="shared" si="52"/>
        <v>0</v>
      </c>
      <c r="U116" s="25">
        <f t="shared" si="52"/>
        <v>0</v>
      </c>
      <c r="V116" s="25">
        <f t="shared" si="52"/>
        <v>0</v>
      </c>
      <c r="W116" s="25">
        <f t="shared" si="52"/>
        <v>0</v>
      </c>
      <c r="X116" s="25">
        <f t="shared" si="52"/>
        <v>0</v>
      </c>
      <c r="Y116" s="25">
        <f t="shared" si="52"/>
        <v>0</v>
      </c>
      <c r="Z116" s="25">
        <f t="shared" si="52"/>
        <v>0</v>
      </c>
      <c r="AA116" s="25">
        <f t="shared" si="52"/>
        <v>0</v>
      </c>
      <c r="AB116" s="25">
        <f t="shared" si="52"/>
        <v>0</v>
      </c>
      <c r="AC116" s="25"/>
      <c r="AD116" s="25">
        <f t="shared" si="11"/>
        <v>8240.1342003597692</v>
      </c>
    </row>
    <row r="117" spans="1:30" outlineLevel="1" x14ac:dyDescent="0.25">
      <c r="A117" t="s">
        <v>82</v>
      </c>
      <c r="B117" s="25">
        <f>IF(B$33="JA",($C$2+B103-B116)*Prijzen!D$62,0)</f>
        <v>0</v>
      </c>
      <c r="C117" s="25">
        <f>IF(C$33="JA",($C$2+C103-C116)*Prijzen!E$62,0)</f>
        <v>2800.1989183999999</v>
      </c>
      <c r="D117" s="25">
        <f>IF(D$33="JA",($C$2+D103-D116)*Prijzen!F$62,0)</f>
        <v>2802.7828219712001</v>
      </c>
      <c r="E117" s="25">
        <f>IF(E$33="JA",($C$2+E103-E116)*Prijzen!G$62,0)</f>
        <v>2410.8464859680794</v>
      </c>
      <c r="F117" s="25">
        <f>IF(F$33="JA",($C$2+F103-F116)*Prijzen!H$62,0)</f>
        <v>2018.1756048827262</v>
      </c>
      <c r="G117" s="25">
        <f>IF(G$33="JA",($C$2+G103-G116)*Prijzen!I$62,0)</f>
        <v>1624.7778285760053</v>
      </c>
      <c r="H117" s="25">
        <f>IF(H$33="JA",($C$2+H103-H116)*Prijzen!J$62,0)</f>
        <v>1230.6607358034391</v>
      </c>
      <c r="I117" s="25">
        <f>IF(I$33="JA",($C$2+I103-I116)*Prijzen!K$62,0)</f>
        <v>0</v>
      </c>
      <c r="J117" s="25">
        <f>IF(J$33="JA",($C$2+J103-J116)*Prijzen!L$62,0)</f>
        <v>0</v>
      </c>
      <c r="K117" s="25">
        <f>IF(K$33="JA",($C$2+K103-K116)*Prijzen!M$62,0)</f>
        <v>0</v>
      </c>
      <c r="L117" s="25">
        <f>IF(L$33="JA",($C$2+L103-L116)*Prijzen!N$62,0)</f>
        <v>0</v>
      </c>
      <c r="M117" s="25">
        <f>IF(M$33="JA",($C$2+M103-M116)*Prijzen!O$62,0)</f>
        <v>0</v>
      </c>
      <c r="N117" s="25">
        <f>IF(N$33="JA",($C$2+N103-N116)*Prijzen!P$62,0)</f>
        <v>0</v>
      </c>
      <c r="O117" s="25">
        <f>IF(O$33="JA",($C$2+O103-O116)*Prijzen!Q$62,0)</f>
        <v>0</v>
      </c>
      <c r="P117" s="25">
        <f>IF(P$33="JA",($C$2+P103-P116)*Prijzen!R$62,0)</f>
        <v>0</v>
      </c>
      <c r="Q117" s="25">
        <f>IF(Q$33="JA",($C$2+Q103-Q116)*Prijzen!S$62,0)</f>
        <v>0</v>
      </c>
      <c r="R117" s="25">
        <f>IF(R$33="JA",($C$2+R103-R116)*Prijzen!T$62,0)</f>
        <v>0</v>
      </c>
      <c r="S117" s="25">
        <f>IF(S$33="JA",($C$2+S103-S116)*Prijzen!U$62,0)</f>
        <v>0</v>
      </c>
      <c r="T117" s="25">
        <f>IF(T$33="JA",($C$2+T103-T116)*Prijzen!V$62,0)</f>
        <v>0</v>
      </c>
      <c r="U117" s="25">
        <f>IF(U$33="JA",($C$2+U103-U116)*Prijzen!W$62,0)</f>
        <v>0</v>
      </c>
      <c r="V117" s="25">
        <f>IF(V$33="JA",($C$2+V103-V116)*Prijzen!X$62,0)</f>
        <v>0</v>
      </c>
      <c r="W117" s="25">
        <f>IF(W$33="JA",($C$2+W103-W116)*Prijzen!Y$62,0)</f>
        <v>0</v>
      </c>
      <c r="X117" s="25">
        <f>IF(X$33="JA",($C$2+X103-X116)*Prijzen!Z$62,0)</f>
        <v>0</v>
      </c>
      <c r="Y117" s="25">
        <f>IF(Y$33="JA",($C$2+Y103-Y116)*Prijzen!AA$62,0)</f>
        <v>0</v>
      </c>
      <c r="Z117" s="25">
        <f>IF(Z$33="JA",($C$2+Z103-Z116)*Prijzen!AB$62,0)</f>
        <v>0</v>
      </c>
      <c r="AA117" s="25">
        <f>IF(AA$33="JA",($C$2+AA103-AA116)*Prijzen!AC$62,0)</f>
        <v>0</v>
      </c>
      <c r="AB117" s="25">
        <f>IF(AB$33="JA",($C$2+AB103-AB116)*Prijzen!AD$62,0)</f>
        <v>0</v>
      </c>
      <c r="AC117" s="25"/>
      <c r="AD117" s="25">
        <f t="shared" si="11"/>
        <v>12887.442395601451</v>
      </c>
    </row>
    <row r="118" spans="1:30" outlineLevel="1" x14ac:dyDescent="0.25">
      <c r="A118" t="s">
        <v>83</v>
      </c>
      <c r="B118" s="25">
        <f t="shared" ref="B118:AB118" si="53">IF(B$33="JA",MIN((B115-B116),B117),0)</f>
        <v>0</v>
      </c>
      <c r="C118" s="25">
        <f t="shared" si="53"/>
        <v>865.14628500000003</v>
      </c>
      <c r="D118" s="25">
        <f t="shared" si="53"/>
        <v>859.090261005</v>
      </c>
      <c r="E118" s="25">
        <f t="shared" si="53"/>
        <v>853.07662917796495</v>
      </c>
      <c r="F118" s="25">
        <f t="shared" si="53"/>
        <v>847.10509277371909</v>
      </c>
      <c r="G118" s="25">
        <f t="shared" si="53"/>
        <v>841.1753571243031</v>
      </c>
      <c r="H118" s="25">
        <f t="shared" si="53"/>
        <v>835.28712962443296</v>
      </c>
      <c r="I118" s="25">
        <f t="shared" si="53"/>
        <v>0</v>
      </c>
      <c r="J118" s="25">
        <f t="shared" si="53"/>
        <v>0</v>
      </c>
      <c r="K118" s="25">
        <f t="shared" si="53"/>
        <v>0</v>
      </c>
      <c r="L118" s="25">
        <f t="shared" si="53"/>
        <v>0</v>
      </c>
      <c r="M118" s="25">
        <f t="shared" si="53"/>
        <v>0</v>
      </c>
      <c r="N118" s="25">
        <f t="shared" si="53"/>
        <v>0</v>
      </c>
      <c r="O118" s="25">
        <f t="shared" si="53"/>
        <v>0</v>
      </c>
      <c r="P118" s="25">
        <f t="shared" si="53"/>
        <v>0</v>
      </c>
      <c r="Q118" s="25">
        <f t="shared" si="53"/>
        <v>0</v>
      </c>
      <c r="R118" s="25">
        <f t="shared" si="53"/>
        <v>0</v>
      </c>
      <c r="S118" s="25">
        <f t="shared" si="53"/>
        <v>0</v>
      </c>
      <c r="T118" s="25">
        <f t="shared" si="53"/>
        <v>0</v>
      </c>
      <c r="U118" s="25">
        <f t="shared" si="53"/>
        <v>0</v>
      </c>
      <c r="V118" s="25">
        <f t="shared" si="53"/>
        <v>0</v>
      </c>
      <c r="W118" s="25">
        <f t="shared" si="53"/>
        <v>0</v>
      </c>
      <c r="X118" s="25">
        <f t="shared" si="53"/>
        <v>0</v>
      </c>
      <c r="Y118" s="25">
        <f t="shared" si="53"/>
        <v>0</v>
      </c>
      <c r="Z118" s="25">
        <f t="shared" si="53"/>
        <v>0</v>
      </c>
      <c r="AA118" s="25">
        <f t="shared" si="53"/>
        <v>0</v>
      </c>
      <c r="AB118" s="25">
        <f t="shared" si="53"/>
        <v>0</v>
      </c>
      <c r="AC118" s="25"/>
      <c r="AD118" s="25">
        <f t="shared" si="11"/>
        <v>5100.8807547054203</v>
      </c>
    </row>
    <row r="119" spans="1:30" outlineLevel="1" x14ac:dyDescent="0.25">
      <c r="A119" t="s">
        <v>84</v>
      </c>
      <c r="B119" s="25">
        <f t="shared" ref="B119:AB119" si="54">IF(B$33="JA",B115-B116-B118,0)</f>
        <v>0</v>
      </c>
      <c r="C119" s="25">
        <f t="shared" si="54"/>
        <v>0</v>
      </c>
      <c r="D119" s="25">
        <f t="shared" si="54"/>
        <v>0</v>
      </c>
      <c r="E119" s="25">
        <f t="shared" si="54"/>
        <v>0</v>
      </c>
      <c r="F119" s="25">
        <f t="shared" si="54"/>
        <v>0</v>
      </c>
      <c r="G119" s="25">
        <f t="shared" si="54"/>
        <v>0</v>
      </c>
      <c r="H119" s="25">
        <f t="shared" si="54"/>
        <v>0</v>
      </c>
      <c r="I119" s="25">
        <f t="shared" si="54"/>
        <v>829.44011971706198</v>
      </c>
      <c r="J119" s="25">
        <f t="shared" si="54"/>
        <v>823.63403887904246</v>
      </c>
      <c r="K119" s="25">
        <f t="shared" si="54"/>
        <v>817.86860060688912</v>
      </c>
      <c r="L119" s="25">
        <f t="shared" si="54"/>
        <v>812.143520402641</v>
      </c>
      <c r="M119" s="25">
        <f t="shared" si="54"/>
        <v>806.45851575982226</v>
      </c>
      <c r="N119" s="25">
        <f t="shared" si="54"/>
        <v>800.81330614950355</v>
      </c>
      <c r="O119" s="25">
        <f t="shared" si="54"/>
        <v>795.20761300645711</v>
      </c>
      <c r="P119" s="25">
        <f t="shared" si="54"/>
        <v>789.64115971541185</v>
      </c>
      <c r="Q119" s="25">
        <f t="shared" si="54"/>
        <v>784.11367159740394</v>
      </c>
      <c r="R119" s="25">
        <f t="shared" si="54"/>
        <v>0</v>
      </c>
      <c r="S119" s="25">
        <f t="shared" si="54"/>
        <v>0</v>
      </c>
      <c r="T119" s="25">
        <f t="shared" si="54"/>
        <v>0</v>
      </c>
      <c r="U119" s="25">
        <f t="shared" si="54"/>
        <v>0</v>
      </c>
      <c r="V119" s="25">
        <f t="shared" si="54"/>
        <v>0</v>
      </c>
      <c r="W119" s="25">
        <f t="shared" si="54"/>
        <v>0</v>
      </c>
      <c r="X119" s="25">
        <f t="shared" si="54"/>
        <v>0</v>
      </c>
      <c r="Y119" s="25">
        <f t="shared" si="54"/>
        <v>0</v>
      </c>
      <c r="Z119" s="25">
        <f t="shared" si="54"/>
        <v>0</v>
      </c>
      <c r="AA119" s="25">
        <f t="shared" si="54"/>
        <v>0</v>
      </c>
      <c r="AB119" s="25">
        <f t="shared" si="54"/>
        <v>0</v>
      </c>
      <c r="AC119" s="25"/>
      <c r="AD119" s="25">
        <f t="shared" si="11"/>
        <v>7259.3205458342327</v>
      </c>
    </row>
    <row r="120" spans="1:30" outlineLevel="1" x14ac:dyDescent="0.25">
      <c r="A120" t="s">
        <v>85</v>
      </c>
      <c r="B120" s="29">
        <f>IF(B$33="JA",B121/B115,0)</f>
        <v>0</v>
      </c>
      <c r="C120" s="29">
        <f t="shared" ref="C120:AB120" si="55">IF(C$33="JA",C121/C115,0)</f>
        <v>0.275890183279209</v>
      </c>
      <c r="D120" s="29">
        <f t="shared" si="55"/>
        <v>0.24897066227602277</v>
      </c>
      <c r="E120" s="29">
        <f t="shared" si="55"/>
        <v>0.23621624314417644</v>
      </c>
      <c r="F120" s="29">
        <f t="shared" si="55"/>
        <v>0.22470481824054794</v>
      </c>
      <c r="G120" s="29">
        <f t="shared" si="55"/>
        <v>0.22722462021985299</v>
      </c>
      <c r="H120" s="29">
        <f t="shared" si="55"/>
        <v>0.23411230073066347</v>
      </c>
      <c r="I120" s="29">
        <f t="shared" si="55"/>
        <v>0.15943753517601436</v>
      </c>
      <c r="J120" s="29">
        <f t="shared" si="55"/>
        <v>0.16024283882442639</v>
      </c>
      <c r="K120" s="29">
        <f t="shared" si="55"/>
        <v>0.16106424854580664</v>
      </c>
      <c r="L120" s="29">
        <f t="shared" si="55"/>
        <v>0.1619020864616145</v>
      </c>
      <c r="M120" s="29">
        <f t="shared" si="55"/>
        <v>0.16275668113573855</v>
      </c>
      <c r="N120" s="29">
        <f t="shared" si="55"/>
        <v>0.16362836770334505</v>
      </c>
      <c r="O120" s="29">
        <f t="shared" si="55"/>
        <v>0.16451748800230362</v>
      </c>
      <c r="P120" s="29">
        <f t="shared" si="55"/>
        <v>0.16542439070724146</v>
      </c>
      <c r="Q120" s="29">
        <f t="shared" si="55"/>
        <v>0.16634943146627801</v>
      </c>
      <c r="R120" s="29">
        <f t="shared" si="55"/>
        <v>0</v>
      </c>
      <c r="S120" s="29">
        <f t="shared" si="55"/>
        <v>0</v>
      </c>
      <c r="T120" s="29">
        <f t="shared" si="55"/>
        <v>0</v>
      </c>
      <c r="U120" s="29">
        <f t="shared" si="55"/>
        <v>0</v>
      </c>
      <c r="V120" s="29">
        <f t="shared" si="55"/>
        <v>0</v>
      </c>
      <c r="W120" s="29">
        <f t="shared" si="55"/>
        <v>0</v>
      </c>
      <c r="X120" s="29">
        <f t="shared" si="55"/>
        <v>0</v>
      </c>
      <c r="Y120" s="29">
        <f t="shared" si="55"/>
        <v>0</v>
      </c>
      <c r="Z120" s="29">
        <f t="shared" si="55"/>
        <v>0</v>
      </c>
      <c r="AA120" s="29">
        <f t="shared" si="55"/>
        <v>0</v>
      </c>
      <c r="AB120" s="29">
        <f t="shared" si="55"/>
        <v>0</v>
      </c>
      <c r="AC120" s="29"/>
      <c r="AD120" s="29">
        <f t="shared" si="11"/>
        <v>2.9124418959132408</v>
      </c>
    </row>
    <row r="121" spans="1:30" outlineLevel="1" x14ac:dyDescent="0.25">
      <c r="A121" t="s">
        <v>29</v>
      </c>
      <c r="B121" s="30">
        <f>IF(B$33="JA",B116*B106+B118*B106+B119*VLOOKUP($C$8,Prijzen!$B$65:$T$68,B$31,FALSE),0)</f>
        <v>0</v>
      </c>
      <c r="C121" s="30">
        <f>IF(C$33="JA",C116*C106+C118*C106+C119*VLOOKUP($C$8,Prijzen!$B$65:$T$68,C$31,FALSE),0)</f>
        <v>397.80894521996134</v>
      </c>
      <c r="D121" s="30">
        <f>IF(D$33="JA",D116*D106+D118*D106+D119*VLOOKUP($C$8,Prijzen!$B$65:$T$68,D$31,FALSE),0)</f>
        <v>356.48045206216017</v>
      </c>
      <c r="E121" s="30">
        <f>IF(E$33="JA",E116*E106+E118*E106+E119*VLOOKUP($C$8,Prijzen!$B$65:$T$68,E$31,FALSE),0)</f>
        <v>335.85092743086102</v>
      </c>
      <c r="F121" s="30">
        <f>IF(F$33="JA",F116*F106+F118*F106+F119*VLOOKUP($C$8,Prijzen!$B$65:$T$68,F$31,FALSE),0)</f>
        <v>317.24765983726843</v>
      </c>
      <c r="G121" s="30">
        <f>IF(G$33="JA",G116*G106+G118*G106+G119*VLOOKUP($C$8,Prijzen!$B$65:$T$68,G$31,FALSE),0)</f>
        <v>318.55958510144831</v>
      </c>
      <c r="H121" s="30">
        <f>IF(H$33="JA",H116*H106+H118*H106+H119*VLOOKUP($C$8,Prijzen!$B$65:$T$68,H$31,FALSE),0)</f>
        <v>325.91831947847987</v>
      </c>
      <c r="I121" s="30">
        <f>IF(I$33="JA",I116*I106+I118*I106+I119*VLOOKUP($C$8,Prijzen!$B$65:$T$68,I$31,FALSE),0)</f>
        <v>220.40648043964438</v>
      </c>
      <c r="J121" s="30">
        <f>IF(J$33="JA",J116*J106+J118*J106+J119*VLOOKUP($C$8,Prijzen!$B$65:$T$68,J$31,FALSE),0)</f>
        <v>219.96909423734292</v>
      </c>
      <c r="K121" s="30">
        <f>IF(K$33="JA",K116*K106+K118*K106+K119*VLOOKUP($C$8,Prijzen!$B$65:$T$68,K$31,FALSE),0)</f>
        <v>219.54898594326511</v>
      </c>
      <c r="L121" s="30">
        <f>IF(L$33="JA",L116*L106+L118*L106+L119*VLOOKUP($C$8,Prijzen!$B$65:$T$68,L$31,FALSE),0)</f>
        <v>219.14621743244726</v>
      </c>
      <c r="M121" s="30">
        <f>IF(M$33="JA",M116*M106+M118*M106+M119*VLOOKUP($C$8,Prijzen!$B$65:$T$68,M$31,FALSE),0)</f>
        <v>218.76085249787064</v>
      </c>
      <c r="N121" s="30">
        <f>IF(N$33="JA",N116*N106+N118*N106+N119*VLOOKUP($C$8,Prijzen!$B$65:$T$68,N$31,FALSE),0)</f>
        <v>218.39295686727067</v>
      </c>
      <c r="O121" s="30">
        <f>IF(O$33="JA",O116*O106+O118*O106+O119*VLOOKUP($C$8,Prijzen!$B$65:$T$68,O$31,FALSE),0)</f>
        <v>218.0425982202172</v>
      </c>
      <c r="P121" s="30">
        <f>IF(P$33="JA",P116*P106+P118*P106+P119*VLOOKUP($C$8,Prijzen!$B$65:$T$68,P$31,FALSE),0)</f>
        <v>217.70984620546926</v>
      </c>
      <c r="Q121" s="30">
        <f>IF(Q$33="JA",Q116*Q106+Q118*Q106+Q119*VLOOKUP($C$8,Prijzen!$B$65:$T$68,Q$31,FALSE),0)</f>
        <v>217.39477245860661</v>
      </c>
      <c r="R121" s="30">
        <f>IF(R$33="JA",R116*R106+R118*R106+R119*VLOOKUP($C$8,Prijzen!$B$65:$T$68,R$31,FALSE),0)</f>
        <v>0</v>
      </c>
      <c r="S121" s="30">
        <f>IF(S$33="JA",S116*S106+S118*S106+S119*VLOOKUP($C$8,Prijzen!$B$65:$T$68,S$31,FALSE),0)</f>
        <v>0</v>
      </c>
      <c r="T121" s="30">
        <f>IF(T$33="JA",T116*T106+T118*T106+T119*VLOOKUP($C$8,Prijzen!$B$65:$T$68,T$31,FALSE),0)</f>
        <v>0</v>
      </c>
      <c r="U121" s="30">
        <f>IF(U$33="JA",U116*U106+U118*U106+U119*VLOOKUP($C$8,Prijzen!$B$65:$T$68,U$31,FALSE),0)</f>
        <v>0</v>
      </c>
      <c r="V121" s="30">
        <f>IF(V$33="JA",V116*V106+V118*V106+V119*VLOOKUP($C$8,Prijzen!$B$65:$T$68,V$31,FALSE),0)</f>
        <v>0</v>
      </c>
      <c r="W121" s="30">
        <f>IF(W$33="JA",W116*W106+W118*W106+W119*VLOOKUP($C$8,Prijzen!$B$65:$T$68,W$31,FALSE),0)</f>
        <v>0</v>
      </c>
      <c r="X121" s="30">
        <f>IF(X$33="JA",X116*X106+X118*X106+X119*VLOOKUP($C$8,Prijzen!$B$65:$T$68,X$31,FALSE),0)</f>
        <v>0</v>
      </c>
      <c r="Y121" s="30">
        <f>IF(Y$33="JA",Y116*Y106+Y118*Y106+Y119*VLOOKUP($C$8,Prijzen!$B$65:$T$68,Y$31,FALSE),0)</f>
        <v>0</v>
      </c>
      <c r="Z121" s="30">
        <f>IF(Z$33="JA",Z116*Z106+Z118*Z106+Z119*VLOOKUP($C$8,Prijzen!$B$65:$T$68,Z$31,FALSE),0)</f>
        <v>0</v>
      </c>
      <c r="AA121" s="30">
        <f>IF(AA$33="JA",AA116*AA106+AA118*AA106+AA119*VLOOKUP($C$8,Prijzen!$B$65:$T$68,AA$31,FALSE),0)</f>
        <v>0</v>
      </c>
      <c r="AB121" s="30">
        <f>IF(AB$33="JA",AB116*AB106+AB118*AB106+AB119*VLOOKUP($C$8,Prijzen!$B$65:$T$68,AB$31,FALSE),0)</f>
        <v>0</v>
      </c>
      <c r="AC121" s="30"/>
      <c r="AD121" s="30">
        <f t="shared" si="11"/>
        <v>4021.2376934323133</v>
      </c>
    </row>
    <row r="122" spans="1:30" outlineLevel="1" x14ac:dyDescent="0.25">
      <c r="A122" t="s">
        <v>86</v>
      </c>
      <c r="B122" s="9">
        <f>IF(B$33="JA",-PMT($E$17,Kengetallen!$B$16,Investering!$B$66,0,1),0)</f>
        <v>0</v>
      </c>
      <c r="C122" s="9">
        <f>IF(C$33="JA",-PMT($E$17,Kengetallen!$B$16,Investering!$B$66,0,1),0)</f>
        <v>111.07321823887055</v>
      </c>
      <c r="D122" s="9">
        <f>IF(D$33="JA",-PMT($E$17,Kengetallen!$B$16,Investering!$B$66,0,1),0)</f>
        <v>111.07321823887055</v>
      </c>
      <c r="E122" s="9">
        <f>IF(E$33="JA",-PMT($E$17,Kengetallen!$B$16,Investering!$B$66,0,1),0)</f>
        <v>111.07321823887055</v>
      </c>
      <c r="F122" s="9">
        <f>IF(F$33="JA",-PMT($E$17,Kengetallen!$B$16,Investering!$B$66,0,1),0)</f>
        <v>111.07321823887055</v>
      </c>
      <c r="G122" s="9">
        <f>IF(G$33="JA",-PMT($E$17,Kengetallen!$B$16,Investering!$B$66,0,1),0)</f>
        <v>111.07321823887055</v>
      </c>
      <c r="H122" s="9">
        <f>IF(H$33="JA",-PMT($E$17,Kengetallen!$B$16,Investering!$B$66,0,1),0)</f>
        <v>111.07321823887055</v>
      </c>
      <c r="I122" s="9">
        <f>IF(I$33="JA",-PMT($E$17,Kengetallen!$B$16,Investering!$B$66,0,1),0)</f>
        <v>111.07321823887055</v>
      </c>
      <c r="J122" s="9">
        <f>IF(J$33="JA",-PMT($E$17,Kengetallen!$B$16,Investering!$B$66,0,1),0)</f>
        <v>111.07321823887055</v>
      </c>
      <c r="K122" s="9">
        <f>IF(K$33="JA",-PMT($E$17,Kengetallen!$B$16,Investering!$B$66,0,1),0)</f>
        <v>111.07321823887055</v>
      </c>
      <c r="L122" s="9">
        <f>IF(L$33="JA",-PMT($E$17,Kengetallen!$B$16,Investering!$B$66,0,1),0)</f>
        <v>111.07321823887055</v>
      </c>
      <c r="M122" s="9">
        <f>IF(M$33="JA",-PMT($E$17,Kengetallen!$B$16,Investering!$B$66,0,1),0)</f>
        <v>111.07321823887055</v>
      </c>
      <c r="N122" s="9">
        <f>IF(N$33="JA",-PMT($E$17,Kengetallen!$B$16,Investering!$B$66,0,1),0)</f>
        <v>111.07321823887055</v>
      </c>
      <c r="O122" s="9">
        <f>IF(O$33="JA",-PMT($E$17,Kengetallen!$B$16,Investering!$B$66,0,1),0)</f>
        <v>111.07321823887055</v>
      </c>
      <c r="P122" s="9">
        <f>IF(P$33="JA",-PMT($E$17,Kengetallen!$B$16,Investering!$B$66,0,1),0)</f>
        <v>111.07321823887055</v>
      </c>
      <c r="Q122" s="9">
        <f>IF(Q$33="JA",-PMT($E$17,Kengetallen!$B$16,Investering!$B$66,0,1),0)</f>
        <v>111.07321823887055</v>
      </c>
      <c r="R122" s="9">
        <f>IF(R$33="JA",-PMT($E$17,Kengetallen!$B$16,Investering!$B$66,0,1),0)</f>
        <v>0</v>
      </c>
      <c r="S122" s="9">
        <f>IF(S$33="JA",-PMT($E$17,Kengetallen!$B$16,Investering!$B$66,0,1),0)</f>
        <v>0</v>
      </c>
      <c r="T122" s="9">
        <f>IF(T$33="JA",-PMT($E$17,Kengetallen!$B$16,Investering!$B$66,0,1),0)</f>
        <v>0</v>
      </c>
      <c r="U122" s="9">
        <f>IF(U$33="JA",-PMT($E$17,Kengetallen!$B$16,Investering!$B$66,0,1),0)</f>
        <v>0</v>
      </c>
      <c r="V122" s="9">
        <f>IF(V$33="JA",-PMT($E$17,Kengetallen!$B$16,Investering!$B$66,0,1),0)</f>
        <v>0</v>
      </c>
      <c r="W122" s="9">
        <f>IF(W$33="JA",-PMT($E$17,Kengetallen!$B$16,Investering!$B$66,0,1),0)</f>
        <v>0</v>
      </c>
      <c r="X122" s="9">
        <f>IF(X$33="JA",-PMT($E$17,Kengetallen!$B$16,Investering!$B$66,0,1),0)</f>
        <v>0</v>
      </c>
      <c r="Y122" s="9">
        <f>IF(Y$33="JA",-PMT($E$17,Kengetallen!$B$16,Investering!$B$66,0,1),0)</f>
        <v>0</v>
      </c>
      <c r="Z122" s="9">
        <f>IF(Z$33="JA",-PMT($E$17,Kengetallen!$B$16,Investering!$B$66,0,1),0)</f>
        <v>0</v>
      </c>
      <c r="AA122" s="9">
        <f>IF(AA$33="JA",-PMT($E$17,Kengetallen!$B$16,Investering!$B$66,0,1),0)</f>
        <v>0</v>
      </c>
      <c r="AB122" s="9">
        <f>IF(AB$33="JA",-PMT($E$17,Kengetallen!$B$16,Investering!$B$66,0,1),0)</f>
        <v>0</v>
      </c>
      <c r="AC122" s="9"/>
      <c r="AD122" s="9">
        <f t="shared" si="11"/>
        <v>1666.0982735830587</v>
      </c>
    </row>
    <row r="123" spans="1:30" outlineLevel="1" x14ac:dyDescent="0.25">
      <c r="A123" t="s">
        <v>33</v>
      </c>
      <c r="B123" s="9">
        <f>IF(B$33="JA",Kengetallen!$B$20*(1+Kengetallen!$B$2)^'Business case'!B$32,0)</f>
        <v>0</v>
      </c>
      <c r="C123" s="9">
        <f>IF(C$33="JA",Kengetallen!$B$20*(1+Kengetallen!$B$2)^'Business case'!C$32,0)</f>
        <v>25.5</v>
      </c>
      <c r="D123" s="9">
        <f>IF(D$33="JA",Kengetallen!$B$20*(1+Kengetallen!$B$2)^'Business case'!D$32,0)</f>
        <v>26.009999999999998</v>
      </c>
      <c r="E123" s="9">
        <f>IF(E$33="JA",Kengetallen!$B$20*(1+Kengetallen!$B$2)^'Business case'!E$32,0)</f>
        <v>26.530199999999997</v>
      </c>
      <c r="F123" s="9">
        <f>IF(F$33="JA",Kengetallen!$B$20*(1+Kengetallen!$B$2)^'Business case'!F$32,0)</f>
        <v>27.060804000000001</v>
      </c>
      <c r="G123" s="9">
        <f>IF(G$33="JA",Kengetallen!$B$20*(1+Kengetallen!$B$2)^'Business case'!G$32,0)</f>
        <v>27.602020079999999</v>
      </c>
      <c r="H123" s="9">
        <f>IF(H$33="JA",Kengetallen!$B$20*(1+Kengetallen!$B$2)^'Business case'!H$32,0)</f>
        <v>28.154060481600002</v>
      </c>
      <c r="I123" s="9">
        <f>IF(I$33="JA",Kengetallen!$B$20*(1+Kengetallen!$B$2)^'Business case'!I$32,0)</f>
        <v>28.717141691231994</v>
      </c>
      <c r="J123" s="9">
        <f>IF(J$33="JA",Kengetallen!$B$20*(1+Kengetallen!$B$2)^'Business case'!J$32,0)</f>
        <v>29.291484525056639</v>
      </c>
      <c r="K123" s="9">
        <f>IF(K$33="JA",Kengetallen!$B$20*(1+Kengetallen!$B$2)^'Business case'!K$32,0)</f>
        <v>29.877314215557771</v>
      </c>
      <c r="L123" s="9">
        <f>IF(L$33="JA",Kengetallen!$B$20*(1+Kengetallen!$B$2)^'Business case'!L$32,0)</f>
        <v>30.474860499868928</v>
      </c>
      <c r="M123" s="9">
        <f>IF(M$33="JA",Kengetallen!$B$20*(1+Kengetallen!$B$2)^'Business case'!M$32,0)</f>
        <v>31.0843577098663</v>
      </c>
      <c r="N123" s="9">
        <f>IF(N$33="JA",Kengetallen!$B$20*(1+Kengetallen!$B$2)^'Business case'!N$32,0)</f>
        <v>31.706044864063632</v>
      </c>
      <c r="O123" s="9">
        <f>IF(O$33="JA",Kengetallen!$B$20*(1+Kengetallen!$B$2)^'Business case'!O$32,0)</f>
        <v>32.340165761344899</v>
      </c>
      <c r="P123" s="9">
        <f>IF(P$33="JA",Kengetallen!$B$20*(1+Kengetallen!$B$2)^'Business case'!P$32,0)</f>
        <v>32.986969076571803</v>
      </c>
      <c r="Q123" s="9">
        <f>IF(Q$33="JA",Kengetallen!$B$20*(1+Kengetallen!$B$2)^'Business case'!Q$32,0)</f>
        <v>33.646708458103234</v>
      </c>
      <c r="R123" s="9">
        <f>IF(R$33="JA",Kengetallen!$B$20*(1+Kengetallen!$B$2)^'Business case'!R$32,0)</f>
        <v>0</v>
      </c>
      <c r="S123" s="9">
        <f>IF(S$33="JA",Kengetallen!$B$20*(1+Kengetallen!$B$2)^'Business case'!S$32,0)</f>
        <v>0</v>
      </c>
      <c r="T123" s="9">
        <f>IF(T$33="JA",Kengetallen!$B$20*(1+Kengetallen!$B$2)^'Business case'!T$32,0)</f>
        <v>0</v>
      </c>
      <c r="U123" s="9">
        <f>IF(U$33="JA",Kengetallen!$B$20*(1+Kengetallen!$B$2)^'Business case'!U$32,0)</f>
        <v>0</v>
      </c>
      <c r="V123" s="9">
        <f>IF(V$33="JA",Kengetallen!$B$20*(1+Kengetallen!$B$2)^'Business case'!V$32,0)</f>
        <v>0</v>
      </c>
      <c r="W123" s="9">
        <f>IF(W$33="JA",Kengetallen!$B$20*(1+Kengetallen!$B$2)^'Business case'!W$32,0)</f>
        <v>0</v>
      </c>
      <c r="X123" s="9">
        <f>IF(X$33="JA",Kengetallen!$B$20*(1+Kengetallen!$B$2)^'Business case'!X$32,0)</f>
        <v>0</v>
      </c>
      <c r="Y123" s="9">
        <f>IF(Y$33="JA",Kengetallen!$B$20*(1+Kengetallen!$B$2)^'Business case'!Y$32,0)</f>
        <v>0</v>
      </c>
      <c r="Z123" s="9">
        <f>IF(Z$33="JA",Kengetallen!$B$20*(1+Kengetallen!$B$2)^'Business case'!Z$32,0)</f>
        <v>0</v>
      </c>
      <c r="AA123" s="9">
        <f>IF(AA$33="JA",Kengetallen!$B$20*(1+Kengetallen!$B$2)^'Business case'!AA$32,0)</f>
        <v>0</v>
      </c>
      <c r="AB123" s="9">
        <f>IF(AB$33="JA",Kengetallen!$B$20*(1+Kengetallen!$B$2)^'Business case'!AB$32,0)</f>
        <v>0</v>
      </c>
      <c r="AC123" s="9"/>
      <c r="AD123" s="9">
        <f t="shared" si="11"/>
        <v>440.98213136326524</v>
      </c>
    </row>
    <row r="124" spans="1:30" outlineLevel="1" x14ac:dyDescent="0.25">
      <c r="A124" s="3" t="s">
        <v>36</v>
      </c>
      <c r="B124" s="17">
        <f>SUM(B108:B114)-B121+B122+B123</f>
        <v>0</v>
      </c>
      <c r="C124" s="17">
        <f t="shared" ref="C124:AB124" si="56">SUM(C108:C114)-C121+C122+C123</f>
        <v>1976.5602099246928</v>
      </c>
      <c r="D124" s="17">
        <f t="shared" si="56"/>
        <v>1982.3695396217925</v>
      </c>
      <c r="E124" s="17">
        <f t="shared" si="56"/>
        <v>1988.1200910922157</v>
      </c>
      <c r="F124" s="17">
        <f t="shared" si="56"/>
        <v>1993.7221343688716</v>
      </c>
      <c r="G124" s="17">
        <f t="shared" si="56"/>
        <v>1999.8576631237918</v>
      </c>
      <c r="H124" s="17">
        <f t="shared" si="56"/>
        <v>2006.3646402356951</v>
      </c>
      <c r="I124" s="17">
        <f t="shared" si="56"/>
        <v>2118.6841293480034</v>
      </c>
      <c r="J124" s="17">
        <f t="shared" si="56"/>
        <v>2126.0653186252466</v>
      </c>
      <c r="K124" s="17">
        <f t="shared" si="56"/>
        <v>2133.5681060557658</v>
      </c>
      <c r="L124" s="17">
        <f t="shared" si="56"/>
        <v>2141.1952072857534</v>
      </c>
      <c r="M124" s="17">
        <f t="shared" si="56"/>
        <v>2148.9493915938829</v>
      </c>
      <c r="N124" s="17">
        <f t="shared" si="56"/>
        <v>2156.8334829855075</v>
      </c>
      <c r="O124" s="17">
        <f t="shared" si="56"/>
        <v>2164.8503613088055</v>
      </c>
      <c r="P124" s="17">
        <f t="shared" si="56"/>
        <v>2173.0029633933232</v>
      </c>
      <c r="Q124" s="17">
        <f t="shared" si="56"/>
        <v>2181.2942842113507</v>
      </c>
      <c r="R124" s="17">
        <f t="shared" si="56"/>
        <v>0</v>
      </c>
      <c r="S124" s="17">
        <f t="shared" si="56"/>
        <v>0</v>
      </c>
      <c r="T124" s="17">
        <f t="shared" si="56"/>
        <v>0</v>
      </c>
      <c r="U124" s="17">
        <f t="shared" si="56"/>
        <v>0</v>
      </c>
      <c r="V124" s="17">
        <f t="shared" si="56"/>
        <v>0</v>
      </c>
      <c r="W124" s="17">
        <f t="shared" si="56"/>
        <v>0</v>
      </c>
      <c r="X124" s="17">
        <f t="shared" si="56"/>
        <v>0</v>
      </c>
      <c r="Y124" s="17">
        <f t="shared" si="56"/>
        <v>0</v>
      </c>
      <c r="Z124" s="17">
        <f t="shared" si="56"/>
        <v>0</v>
      </c>
      <c r="AA124" s="17">
        <f t="shared" si="56"/>
        <v>0</v>
      </c>
      <c r="AB124" s="17">
        <f t="shared" si="56"/>
        <v>0</v>
      </c>
      <c r="AC124" s="17"/>
      <c r="AD124" s="17">
        <f t="shared" si="11"/>
        <v>31291.4375231747</v>
      </c>
    </row>
    <row r="125" spans="1:30" outlineLevel="1" x14ac:dyDescent="0.25">
      <c r="A125" t="s">
        <v>40</v>
      </c>
      <c r="B125" s="9">
        <f>B109+B114-B121+B123</f>
        <v>0</v>
      </c>
      <c r="C125" s="9">
        <f>C109+C114-C121+C123</f>
        <v>181.3042926651961</v>
      </c>
      <c r="D125" s="9">
        <f t="shared" ref="D125:AB125" si="57">D109+D114-D121+D123</f>
        <v>187.11362236229564</v>
      </c>
      <c r="E125" s="9">
        <f t="shared" si="57"/>
        <v>192.86417383271899</v>
      </c>
      <c r="F125" s="9">
        <f t="shared" si="57"/>
        <v>198.46621710937521</v>
      </c>
      <c r="G125" s="9">
        <f t="shared" si="57"/>
        <v>204.60174586429468</v>
      </c>
      <c r="H125" s="9">
        <f t="shared" si="57"/>
        <v>211.10872297619827</v>
      </c>
      <c r="I125" s="9">
        <f t="shared" si="57"/>
        <v>323.42821208850648</v>
      </c>
      <c r="J125" s="9">
        <f t="shared" si="57"/>
        <v>330.80940136575015</v>
      </c>
      <c r="K125" s="9">
        <f t="shared" si="57"/>
        <v>338.31218879626897</v>
      </c>
      <c r="L125" s="9">
        <f t="shared" si="57"/>
        <v>345.93929002625669</v>
      </c>
      <c r="M125" s="9">
        <f t="shared" si="57"/>
        <v>353.69347433438645</v>
      </c>
      <c r="N125" s="9">
        <f t="shared" si="57"/>
        <v>361.57756572601079</v>
      </c>
      <c r="O125" s="9">
        <f t="shared" si="57"/>
        <v>369.594444049309</v>
      </c>
      <c r="P125" s="9">
        <f t="shared" si="57"/>
        <v>377.7470461338267</v>
      </c>
      <c r="Q125" s="9">
        <f t="shared" si="57"/>
        <v>386.0383669518543</v>
      </c>
      <c r="R125" s="9">
        <f t="shared" si="57"/>
        <v>0</v>
      </c>
      <c r="S125" s="9">
        <f t="shared" si="57"/>
        <v>0</v>
      </c>
      <c r="T125" s="9">
        <f t="shared" si="57"/>
        <v>0</v>
      </c>
      <c r="U125" s="9">
        <f t="shared" si="57"/>
        <v>0</v>
      </c>
      <c r="V125" s="9">
        <f t="shared" si="57"/>
        <v>0</v>
      </c>
      <c r="W125" s="9">
        <f t="shared" si="57"/>
        <v>0</v>
      </c>
      <c r="X125" s="9">
        <f t="shared" si="57"/>
        <v>0</v>
      </c>
      <c r="Y125" s="9">
        <f t="shared" si="57"/>
        <v>0</v>
      </c>
      <c r="Z125" s="9">
        <f t="shared" si="57"/>
        <v>0</v>
      </c>
      <c r="AA125" s="9">
        <f t="shared" si="57"/>
        <v>0</v>
      </c>
      <c r="AB125" s="9">
        <f t="shared" si="57"/>
        <v>0</v>
      </c>
      <c r="AC125" s="9"/>
      <c r="AD125" s="9"/>
    </row>
    <row r="126" spans="1:30" outlineLevel="1" x14ac:dyDescent="0.25">
      <c r="A126" s="3" t="s">
        <v>87</v>
      </c>
      <c r="B126" s="17">
        <f>IFERROR(B$42-B124,"")</f>
        <v>0</v>
      </c>
      <c r="C126" s="17">
        <f>IFERROR(C$42-C124,"")</f>
        <v>-339.20963813644767</v>
      </c>
      <c r="D126" s="17">
        <f t="shared" ref="D126:AB126" si="58">IFERROR(D$42-D124,"")</f>
        <v>-364.05715392684465</v>
      </c>
      <c r="E126" s="17">
        <f t="shared" si="58"/>
        <v>-377.82820787648643</v>
      </c>
      <c r="F126" s="17">
        <f t="shared" si="58"/>
        <v>-371.75134497655063</v>
      </c>
      <c r="G126" s="17">
        <f t="shared" si="58"/>
        <v>-333.95638951635169</v>
      </c>
      <c r="H126" s="17">
        <f t="shared" si="58"/>
        <v>-304.17278061308912</v>
      </c>
      <c r="I126" s="17">
        <f t="shared" si="58"/>
        <v>-393.15095142340624</v>
      </c>
      <c r="J126" s="17">
        <f t="shared" si="58"/>
        <v>-376.72399603261897</v>
      </c>
      <c r="K126" s="17">
        <f t="shared" si="58"/>
        <v>-359.942475901747</v>
      </c>
      <c r="L126" s="17">
        <f t="shared" si="58"/>
        <v>-342.79958341911515</v>
      </c>
      <c r="M126" s="17">
        <f t="shared" si="58"/>
        <v>-325.28837414037321</v>
      </c>
      <c r="N126" s="17">
        <f t="shared" si="58"/>
        <v>-307.4017640733889</v>
      </c>
      <c r="O126" s="17">
        <f t="shared" si="58"/>
        <v>-289.13252690890567</v>
      </c>
      <c r="P126" s="17">
        <f t="shared" si="58"/>
        <v>-270.47329119588676</v>
      </c>
      <c r="Q126" s="17">
        <f t="shared" si="58"/>
        <v>-251.41653746042675</v>
      </c>
      <c r="R126" s="17">
        <f t="shared" si="58"/>
        <v>0</v>
      </c>
      <c r="S126" s="17">
        <f t="shared" si="58"/>
        <v>0</v>
      </c>
      <c r="T126" s="17">
        <f t="shared" si="58"/>
        <v>0</v>
      </c>
      <c r="U126" s="17">
        <f t="shared" si="58"/>
        <v>0</v>
      </c>
      <c r="V126" s="17">
        <f t="shared" si="58"/>
        <v>0</v>
      </c>
      <c r="W126" s="17">
        <f t="shared" si="58"/>
        <v>0</v>
      </c>
      <c r="X126" s="17">
        <f t="shared" si="58"/>
        <v>0</v>
      </c>
      <c r="Y126" s="17">
        <f t="shared" si="58"/>
        <v>0</v>
      </c>
      <c r="Z126" s="17">
        <f t="shared" si="58"/>
        <v>0</v>
      </c>
      <c r="AA126" s="17">
        <f t="shared" si="58"/>
        <v>0</v>
      </c>
      <c r="AB126" s="17">
        <f t="shared" si="58"/>
        <v>0</v>
      </c>
      <c r="AC126" s="17"/>
      <c r="AD126" s="17">
        <f t="shared" si="11"/>
        <v>-5007.3050156016398</v>
      </c>
    </row>
    <row r="127" spans="1:30" outlineLevel="1" x14ac:dyDescent="0.25"/>
    <row r="128" spans="1:30" outlineLevel="1" x14ac:dyDescent="0.25">
      <c r="A128" s="27" t="s">
        <v>89</v>
      </c>
    </row>
    <row r="129" spans="1:30" outlineLevel="1" x14ac:dyDescent="0.25">
      <c r="A129" t="s">
        <v>72</v>
      </c>
      <c r="B129">
        <f t="shared" ref="B129:AB129" si="59">IF(B$33="JA",$C$1*(1-$C$4)*(1-$C$3),0)</f>
        <v>0</v>
      </c>
      <c r="C129">
        <f t="shared" si="59"/>
        <v>0</v>
      </c>
      <c r="D129">
        <f t="shared" si="59"/>
        <v>0</v>
      </c>
      <c r="E129">
        <f t="shared" si="59"/>
        <v>0</v>
      </c>
      <c r="F129">
        <f t="shared" si="59"/>
        <v>0</v>
      </c>
      <c r="G129">
        <f t="shared" si="59"/>
        <v>0</v>
      </c>
      <c r="H129">
        <f t="shared" si="59"/>
        <v>0</v>
      </c>
      <c r="I129">
        <f t="shared" si="59"/>
        <v>0</v>
      </c>
      <c r="J129">
        <f t="shared" si="59"/>
        <v>0</v>
      </c>
      <c r="K129">
        <f t="shared" si="59"/>
        <v>0</v>
      </c>
      <c r="L129">
        <f t="shared" si="59"/>
        <v>0</v>
      </c>
      <c r="M129">
        <f t="shared" si="59"/>
        <v>0</v>
      </c>
      <c r="N129">
        <f t="shared" si="59"/>
        <v>0</v>
      </c>
      <c r="O129">
        <f t="shared" si="59"/>
        <v>0</v>
      </c>
      <c r="P129">
        <f t="shared" si="59"/>
        <v>0</v>
      </c>
      <c r="Q129">
        <f t="shared" si="59"/>
        <v>0</v>
      </c>
      <c r="R129">
        <f t="shared" si="59"/>
        <v>0</v>
      </c>
      <c r="S129">
        <f t="shared" si="59"/>
        <v>0</v>
      </c>
      <c r="T129">
        <f t="shared" si="59"/>
        <v>0</v>
      </c>
      <c r="U129">
        <f t="shared" si="59"/>
        <v>0</v>
      </c>
      <c r="V129">
        <f t="shared" si="59"/>
        <v>0</v>
      </c>
      <c r="W129">
        <f t="shared" si="59"/>
        <v>0</v>
      </c>
      <c r="X129">
        <f t="shared" si="59"/>
        <v>0</v>
      </c>
      <c r="Y129">
        <f t="shared" si="59"/>
        <v>0</v>
      </c>
      <c r="Z129">
        <f t="shared" si="59"/>
        <v>0</v>
      </c>
      <c r="AA129">
        <f t="shared" si="59"/>
        <v>0</v>
      </c>
      <c r="AB129">
        <f t="shared" si="59"/>
        <v>0</v>
      </c>
      <c r="AC129" s="25"/>
      <c r="AD129" s="25">
        <f t="shared" ref="AD129:AD154" si="60">SUM(B129:AB129)</f>
        <v>0</v>
      </c>
    </row>
    <row r="130" spans="1:30" outlineLevel="1" x14ac:dyDescent="0.25">
      <c r="A130" s="13" t="s">
        <v>67</v>
      </c>
      <c r="B130">
        <f>MIN(B129,Prijzen!C136)</f>
        <v>0</v>
      </c>
      <c r="C130">
        <f>MIN(C129,Prijzen!D136)</f>
        <v>0</v>
      </c>
      <c r="D130">
        <f>MIN(D129,Prijzen!E136)</f>
        <v>0</v>
      </c>
      <c r="E130">
        <f>MIN(E129,Prijzen!F136)</f>
        <v>0</v>
      </c>
      <c r="F130">
        <f>MIN(F129,Prijzen!G136)</f>
        <v>0</v>
      </c>
      <c r="G130">
        <f>MIN(G129,Prijzen!H136)</f>
        <v>0</v>
      </c>
      <c r="H130">
        <f>MIN(H129,Prijzen!I136)</f>
        <v>0</v>
      </c>
      <c r="I130">
        <f>MIN(I129,Prijzen!J136)</f>
        <v>0</v>
      </c>
      <c r="J130">
        <f>MIN(J129,Prijzen!K136)</f>
        <v>0</v>
      </c>
      <c r="K130">
        <f>MIN(K129,Prijzen!L136)</f>
        <v>0</v>
      </c>
      <c r="L130">
        <f>MIN(L129,Prijzen!M136)</f>
        <v>0</v>
      </c>
      <c r="M130">
        <f>MIN(M129,Prijzen!N136)</f>
        <v>0</v>
      </c>
      <c r="N130">
        <f>MIN(N129,Prijzen!O136)</f>
        <v>0</v>
      </c>
      <c r="O130">
        <f>MIN(O129,Prijzen!P136)</f>
        <v>0</v>
      </c>
      <c r="P130">
        <f>MIN(P129,Prijzen!Q136)</f>
        <v>0</v>
      </c>
      <c r="Q130">
        <f>MIN(Q129,Prijzen!R136)</f>
        <v>0</v>
      </c>
      <c r="R130">
        <f>MIN(R129,Prijzen!S136)</f>
        <v>0</v>
      </c>
      <c r="S130">
        <f>MIN(S129,Prijzen!T136)</f>
        <v>0</v>
      </c>
      <c r="T130">
        <f>MIN(T129,Prijzen!U136)</f>
        <v>0</v>
      </c>
      <c r="U130">
        <f>MIN(U129,Prijzen!V136)</f>
        <v>0</v>
      </c>
      <c r="V130">
        <f>MIN(V129,Prijzen!W136)</f>
        <v>0</v>
      </c>
      <c r="W130">
        <f>MIN(W129,Prijzen!X136)</f>
        <v>0</v>
      </c>
      <c r="X130">
        <f>MIN(X129,Prijzen!Y136)</f>
        <v>0</v>
      </c>
      <c r="Y130">
        <f>MIN(Y129,Prijzen!Z136)</f>
        <v>0</v>
      </c>
      <c r="Z130">
        <f>MIN(Z129,Prijzen!AA136)</f>
        <v>0</v>
      </c>
      <c r="AA130">
        <f>MIN(AA129,Prijzen!AB136)</f>
        <v>0</v>
      </c>
      <c r="AB130">
        <f>MIN(AB129,Prijzen!AC136)</f>
        <v>0</v>
      </c>
      <c r="AD130">
        <f t="shared" si="60"/>
        <v>0</v>
      </c>
    </row>
    <row r="131" spans="1:30" outlineLevel="1" x14ac:dyDescent="0.25">
      <c r="A131" t="s">
        <v>73</v>
      </c>
      <c r="B131" s="25">
        <f t="shared" ref="B131:AB131" si="61">IF(B$33="JA",$C$1*(1-$C$3)*$C$4*9.5/$F$14,0)</f>
        <v>0</v>
      </c>
      <c r="C131" s="25">
        <f t="shared" si="61"/>
        <v>1659.5142857142857</v>
      </c>
      <c r="D131" s="25">
        <f t="shared" si="61"/>
        <v>1659.5142857142857</v>
      </c>
      <c r="E131" s="25">
        <f t="shared" si="61"/>
        <v>1659.5142857142857</v>
      </c>
      <c r="F131" s="25">
        <f t="shared" si="61"/>
        <v>1659.5142857142857</v>
      </c>
      <c r="G131" s="25">
        <f t="shared" si="61"/>
        <v>1659.5142857142857</v>
      </c>
      <c r="H131" s="25">
        <f t="shared" si="61"/>
        <v>1659.5142857142857</v>
      </c>
      <c r="I131" s="25">
        <f t="shared" si="61"/>
        <v>1659.5142857142857</v>
      </c>
      <c r="J131" s="25">
        <f t="shared" si="61"/>
        <v>1659.5142857142857</v>
      </c>
      <c r="K131" s="25">
        <f t="shared" si="61"/>
        <v>1659.5142857142857</v>
      </c>
      <c r="L131" s="25">
        <f t="shared" si="61"/>
        <v>1659.5142857142857</v>
      </c>
      <c r="M131" s="25">
        <f t="shared" si="61"/>
        <v>1659.5142857142857</v>
      </c>
      <c r="N131" s="25">
        <f t="shared" si="61"/>
        <v>1659.5142857142857</v>
      </c>
      <c r="O131" s="25">
        <f t="shared" si="61"/>
        <v>1659.5142857142857</v>
      </c>
      <c r="P131" s="25">
        <f t="shared" si="61"/>
        <v>1659.5142857142857</v>
      </c>
      <c r="Q131" s="25">
        <f t="shared" si="61"/>
        <v>1659.5142857142857</v>
      </c>
      <c r="R131" s="25">
        <f t="shared" si="61"/>
        <v>0</v>
      </c>
      <c r="S131" s="25">
        <f t="shared" si="61"/>
        <v>0</v>
      </c>
      <c r="T131" s="25">
        <f t="shared" si="61"/>
        <v>0</v>
      </c>
      <c r="U131" s="25">
        <f t="shared" si="61"/>
        <v>0</v>
      </c>
      <c r="V131" s="25">
        <f t="shared" si="61"/>
        <v>0</v>
      </c>
      <c r="W131" s="25">
        <f t="shared" si="61"/>
        <v>0</v>
      </c>
      <c r="X131" s="25">
        <f t="shared" si="61"/>
        <v>0</v>
      </c>
      <c r="Y131" s="25">
        <f t="shared" si="61"/>
        <v>0</v>
      </c>
      <c r="Z131" s="25">
        <f t="shared" si="61"/>
        <v>0</v>
      </c>
      <c r="AA131" s="25">
        <f t="shared" si="61"/>
        <v>0</v>
      </c>
      <c r="AB131" s="25">
        <f t="shared" si="61"/>
        <v>0</v>
      </c>
      <c r="AC131" s="25"/>
      <c r="AD131" s="25">
        <f t="shared" si="60"/>
        <v>24892.714285714286</v>
      </c>
    </row>
    <row r="132" spans="1:30" outlineLevel="1" x14ac:dyDescent="0.25">
      <c r="A132" s="13" t="s">
        <v>67</v>
      </c>
      <c r="AC132" s="25"/>
      <c r="AD132" s="25">
        <f t="shared" si="60"/>
        <v>0</v>
      </c>
    </row>
    <row r="133" spans="1:30" outlineLevel="1" x14ac:dyDescent="0.25">
      <c r="A133" t="s">
        <v>74</v>
      </c>
      <c r="B133" s="24">
        <f>VLOOKUP($C$8,Prijzen!$B$32:$T$35,B$31,FALSE)</f>
        <v>1.248756086373378</v>
      </c>
      <c r="C133" s="24">
        <f>VLOOKUP($C$8,Prijzen!$B$32:$T$35,C$31,FALSE)</f>
        <v>1.2514967446419549</v>
      </c>
      <c r="D133" s="24">
        <f>VLOOKUP($C$8,Prijzen!$B$32:$T$35,D$31,FALSE)</f>
        <v>1.2287304397192578</v>
      </c>
      <c r="E133" s="24">
        <f>VLOOKUP($C$8,Prijzen!$B$32:$T$35,E$31,FALSE)</f>
        <v>1.2128648759239511</v>
      </c>
      <c r="F133" s="24">
        <f>VLOOKUP($C$8,Prijzen!$B$32:$T$35,F$31,FALSE)</f>
        <v>1.222362781734142</v>
      </c>
      <c r="G133" s="24">
        <f>VLOOKUP($C$8,Prijzen!$B$32:$T$35,G$31,FALSE)</f>
        <v>1.2671352026773273</v>
      </c>
      <c r="H133" s="24">
        <f>VLOOKUP($C$8,Prijzen!$B$32:$T$35,H$31,FALSE)</f>
        <v>1.2991424041980122</v>
      </c>
      <c r="I133" s="24">
        <f>VLOOKUP($C$8,Prijzen!$B$32:$T$35,I$31,FALSE)</f>
        <v>1.3162505241946256</v>
      </c>
      <c r="J133" s="24">
        <f>VLOOKUP($C$8,Prijzen!$B$32:$T$35,J$31,FALSE)</f>
        <v>1.3337008065911713</v>
      </c>
      <c r="K133" s="24">
        <f>VLOOKUP($C$8,Prijzen!$B$32:$T$35,K$31,FALSE)</f>
        <v>1.3515000946356479</v>
      </c>
      <c r="L133" s="24">
        <f>VLOOKUP($C$8,Prijzen!$B$32:$T$35,L$31,FALSE)</f>
        <v>1.369655368441014</v>
      </c>
      <c r="M133" s="24">
        <f>VLOOKUP($C$8,Prijzen!$B$32:$T$35,M$31,FALSE)</f>
        <v>1.3881737477224874</v>
      </c>
      <c r="N133" s="24">
        <f>VLOOKUP($C$8,Prijzen!$B$32:$T$35,N$31,FALSE)</f>
        <v>1.4070624945895902</v>
      </c>
      <c r="O133" s="24">
        <f>VLOOKUP($C$8,Prijzen!$B$32:$T$35,O$31,FALSE)</f>
        <v>1.4263290163940352</v>
      </c>
      <c r="P133" s="24">
        <f>VLOOKUP($C$8,Prijzen!$B$32:$T$35,P$31,FALSE)</f>
        <v>1.445980868634569</v>
      </c>
      <c r="Q133" s="24">
        <f>VLOOKUP($C$8,Prijzen!$B$32:$T$35,Q$31,FALSE)</f>
        <v>1.4660257579199134</v>
      </c>
      <c r="R133" s="24">
        <f>VLOOKUP($C$8,Prijzen!$B$32:$T$35,R$31,FALSE)</f>
        <v>1.4864715449909649</v>
      </c>
      <c r="S133" s="24">
        <f>VLOOKUP($C$8,Prijzen!$B$32:$T$35,S$31,FALSE)</f>
        <v>1.2991424041980122</v>
      </c>
      <c r="T133" s="24">
        <f>VLOOKUP($C$8,Prijzen!$B$32:$T$35,T$31,FALSE)</f>
        <v>1.2991424041980122</v>
      </c>
      <c r="U133" s="24">
        <f>VLOOKUP($C$8,Prijzen!$B$32:$T$35,U$31,FALSE)</f>
        <v>1.2991424041980122</v>
      </c>
      <c r="V133" s="24">
        <f>VLOOKUP($C$8,Prijzen!$B$32:$T$35,V$31,FALSE)</f>
        <v>1.2991424041980122</v>
      </c>
      <c r="W133" s="24">
        <f>VLOOKUP($C$8,Prijzen!$B$32:$T$35,W$31,FALSE)</f>
        <v>1.2991424041980122</v>
      </c>
      <c r="X133" s="24">
        <f>VLOOKUP($C$8,Prijzen!$B$32:$T$35,X$31,FALSE)</f>
        <v>1.2991424041980122</v>
      </c>
      <c r="Y133" s="24">
        <f>VLOOKUP($C$8,Prijzen!$B$32:$T$35,Y$31,FALSE)</f>
        <v>1.2991424041980122</v>
      </c>
      <c r="Z133" s="24">
        <f>VLOOKUP($C$8,Prijzen!$B$32:$T$35,Z$31,FALSE)</f>
        <v>1.2991424041980122</v>
      </c>
      <c r="AA133" s="24">
        <f>VLOOKUP($C$8,Prijzen!$B$32:$T$35,AA$31,FALSE)</f>
        <v>1.2991424041980122</v>
      </c>
      <c r="AB133" s="24">
        <f>VLOOKUP($C$8,Prijzen!$B$32:$T$35,AB$31,FALSE)</f>
        <v>1.2991424041980122</v>
      </c>
      <c r="AC133" s="24"/>
      <c r="AD133" s="24">
        <f t="shared" si="60"/>
        <v>35.713062801362163</v>
      </c>
    </row>
    <row r="134" spans="1:30" outlineLevel="1" x14ac:dyDescent="0.25">
      <c r="A134" t="s">
        <v>75</v>
      </c>
      <c r="B134" s="24">
        <f>VLOOKUP($C$8,Prijzen!$B$38:$T$41,B$31,FALSE)</f>
        <v>0.30772435747266325</v>
      </c>
      <c r="C134" s="24">
        <f>VLOOKUP($C$8,Prijzen!$B$38:$T$41,C$31,FALSE)</f>
        <v>0.275890183279209</v>
      </c>
      <c r="D134" s="24">
        <f>VLOOKUP($C$8,Prijzen!$B$38:$T$41,D$31,FALSE)</f>
        <v>0.24897066227602277</v>
      </c>
      <c r="E134" s="24">
        <f>VLOOKUP($C$8,Prijzen!$B$38:$T$41,E$31,FALSE)</f>
        <v>0.23621624314417644</v>
      </c>
      <c r="F134" s="24">
        <f>VLOOKUP($C$8,Prijzen!$B$38:$T$41,F$31,FALSE)</f>
        <v>0.22470481824054794</v>
      </c>
      <c r="G134" s="24">
        <f>VLOOKUP($C$8,Prijzen!$B$38:$T$41,G$31,FALSE)</f>
        <v>0.22722462021985299</v>
      </c>
      <c r="H134" s="24">
        <f>VLOOKUP($C$8,Prijzen!$B$38:$T$41,H$31,FALSE)</f>
        <v>0.23411230073066347</v>
      </c>
      <c r="I134" s="24">
        <f>VLOOKUP($C$8,Prijzen!$B$38:$T$41,I$31,FALSE)</f>
        <v>0.2360860841826537</v>
      </c>
      <c r="J134" s="24">
        <f>VLOOKUP($C$8,Prijzen!$B$38:$T$41,J$31,FALSE)</f>
        <v>0.23809934330368376</v>
      </c>
      <c r="K134" s="24">
        <f>VLOOKUP($C$8,Prijzen!$B$38:$T$41,K$31,FALSE)</f>
        <v>0.24015286760713439</v>
      </c>
      <c r="L134" s="24">
        <f>VLOOKUP($C$8,Prijzen!$B$38:$T$41,L$31,FALSE)</f>
        <v>0.24224746239665404</v>
      </c>
      <c r="M134" s="24">
        <f>VLOOKUP($C$8,Prijzen!$B$38:$T$41,M$31,FALSE)</f>
        <v>0.24438394908196409</v>
      </c>
      <c r="N134" s="24">
        <f>VLOOKUP($C$8,Prijzen!$B$38:$T$41,N$31,FALSE)</f>
        <v>0.24656316550098034</v>
      </c>
      <c r="O134" s="24">
        <f>VLOOKUP($C$8,Prijzen!$B$38:$T$41,O$31,FALSE)</f>
        <v>0.2487859662483769</v>
      </c>
      <c r="P134" s="24">
        <f>VLOOKUP($C$8,Prijzen!$B$38:$T$41,P$31,FALSE)</f>
        <v>0.25105322301072142</v>
      </c>
      <c r="Q134" s="24">
        <f>VLOOKUP($C$8,Prijzen!$B$38:$T$41,Q$31,FALSE)</f>
        <v>0.25336582490831283</v>
      </c>
      <c r="R134" s="24">
        <f>VLOOKUP($C$8,Prijzen!$B$38:$T$41,R$31,FALSE)</f>
        <v>0.25572467884385602</v>
      </c>
      <c r="S134" s="24">
        <f>VLOOKUP($C$8,Prijzen!$B$38:$T$41,S$31,FALSE)</f>
        <v>0.23411230073066347</v>
      </c>
      <c r="T134" s="24">
        <f>VLOOKUP($C$8,Prijzen!$B$38:$T$41,T$31,FALSE)</f>
        <v>0.23411230073066347</v>
      </c>
      <c r="U134" s="24">
        <f>VLOOKUP($C$8,Prijzen!$B$38:$T$41,U$31,FALSE)</f>
        <v>0.23411230073066347</v>
      </c>
      <c r="V134" s="24">
        <f>VLOOKUP($C$8,Prijzen!$B$38:$T$41,V$31,FALSE)</f>
        <v>0.23411230073066347</v>
      </c>
      <c r="W134" s="24">
        <f>VLOOKUP($C$8,Prijzen!$B$38:$T$41,W$31,FALSE)</f>
        <v>0.23411230073066347</v>
      </c>
      <c r="X134" s="24">
        <f>VLOOKUP($C$8,Prijzen!$B$38:$T$41,X$31,FALSE)</f>
        <v>0.23411230073066347</v>
      </c>
      <c r="Y134" s="24">
        <f>VLOOKUP($C$8,Prijzen!$B$38:$T$41,Y$31,FALSE)</f>
        <v>0.23411230073066347</v>
      </c>
      <c r="Z134" s="24">
        <f>VLOOKUP($C$8,Prijzen!$B$38:$T$41,Z$31,FALSE)</f>
        <v>0.23411230073066347</v>
      </c>
      <c r="AA134" s="24">
        <f>VLOOKUP($C$8,Prijzen!$B$38:$T$41,AA$31,FALSE)</f>
        <v>0.23411230073066347</v>
      </c>
      <c r="AB134" s="24">
        <f>VLOOKUP($C$8,Prijzen!$B$38:$T$41,AB$31,FALSE)</f>
        <v>0.23411230073066347</v>
      </c>
      <c r="AC134" s="24"/>
      <c r="AD134" s="24">
        <f t="shared" si="60"/>
        <v>6.5524287577541047</v>
      </c>
    </row>
    <row r="135" spans="1:30" outlineLevel="1" x14ac:dyDescent="0.25">
      <c r="A135" t="s">
        <v>76</v>
      </c>
      <c r="B135" s="28">
        <f t="shared" ref="B135:AB135" si="62">B134/(B133/9.5)</f>
        <v>2.3410347528157796</v>
      </c>
      <c r="C135" s="28">
        <f t="shared" si="62"/>
        <v>2.0942577376837876</v>
      </c>
      <c r="D135" s="28">
        <f t="shared" si="62"/>
        <v>1.9249309817396774</v>
      </c>
      <c r="E135" s="28">
        <f t="shared" si="62"/>
        <v>1.8502096601323152</v>
      </c>
      <c r="F135" s="28">
        <f t="shared" si="62"/>
        <v>1.7463684310289247</v>
      </c>
      <c r="G135" s="28">
        <f t="shared" si="62"/>
        <v>1.7035545122001428</v>
      </c>
      <c r="H135" s="28">
        <f t="shared" si="62"/>
        <v>1.7119500139126518</v>
      </c>
      <c r="I135" s="28">
        <f t="shared" si="62"/>
        <v>1.7039444684039335</v>
      </c>
      <c r="J135" s="28">
        <f t="shared" si="62"/>
        <v>1.6959903977012178</v>
      </c>
      <c r="K135" s="28">
        <f t="shared" si="62"/>
        <v>1.6880888512870105</v>
      </c>
      <c r="L135" s="28">
        <f t="shared" si="62"/>
        <v>1.6802408443721761</v>
      </c>
      <c r="M135" s="28">
        <f t="shared" si="62"/>
        <v>1.6724473576075609</v>
      </c>
      <c r="N135" s="28">
        <f t="shared" si="62"/>
        <v>1.6647093368390338</v>
      </c>
      <c r="O135" s="28">
        <f t="shared" si="62"/>
        <v>1.657027692905501</v>
      </c>
      <c r="P135" s="28">
        <f t="shared" si="62"/>
        <v>1.6494033014793619</v>
      </c>
      <c r="Q135" s="28">
        <f t="shared" si="62"/>
        <v>1.6418370029487988</v>
      </c>
      <c r="R135" s="28">
        <f t="shared" si="62"/>
        <v>1.6343296023412266</v>
      </c>
      <c r="S135" s="28">
        <f t="shared" si="62"/>
        <v>1.7119500139126518</v>
      </c>
      <c r="T135" s="28">
        <f t="shared" si="62"/>
        <v>1.7119500139126518</v>
      </c>
      <c r="U135" s="28">
        <f t="shared" si="62"/>
        <v>1.7119500139126518</v>
      </c>
      <c r="V135" s="28">
        <f t="shared" si="62"/>
        <v>1.7119500139126518</v>
      </c>
      <c r="W135" s="28">
        <f t="shared" si="62"/>
        <v>1.7119500139126518</v>
      </c>
      <c r="X135" s="28">
        <f t="shared" si="62"/>
        <v>1.7119500139126518</v>
      </c>
      <c r="Y135" s="28">
        <f t="shared" si="62"/>
        <v>1.7119500139126518</v>
      </c>
      <c r="Z135" s="28">
        <f t="shared" si="62"/>
        <v>1.7119500139126518</v>
      </c>
      <c r="AA135" s="28">
        <f t="shared" si="62"/>
        <v>1.7119500139126518</v>
      </c>
      <c r="AB135" s="28">
        <f t="shared" si="62"/>
        <v>1.7119500139126518</v>
      </c>
      <c r="AC135" s="28"/>
      <c r="AD135" s="28">
        <f t="shared" si="60"/>
        <v>47.179825084525589</v>
      </c>
    </row>
    <row r="136" spans="1:30" outlineLevel="1" x14ac:dyDescent="0.25">
      <c r="A136" t="s">
        <v>77</v>
      </c>
      <c r="B136" s="9">
        <f>IFERROR(B130*Prijzen!$B$83+('Business case'!B129-'Business case'!B130)*'Business case'!B133,"")</f>
        <v>0</v>
      </c>
      <c r="C136" s="9">
        <f>IFERROR(C130*Prijzen!$B$83+('Business case'!C129-'Business case'!C130)*'Business case'!C133,"")</f>
        <v>0</v>
      </c>
      <c r="D136" s="9">
        <f>IFERROR(D130*Prijzen!$B$83+('Business case'!D129-'Business case'!D130)*'Business case'!D133,"")</f>
        <v>0</v>
      </c>
      <c r="E136" s="9">
        <f>IFERROR(E130*Prijzen!$B$83+('Business case'!E129-'Business case'!E130)*'Business case'!E133,"")</f>
        <v>0</v>
      </c>
      <c r="F136" s="9">
        <f>IFERROR(F130*Prijzen!$B$83+('Business case'!F129-'Business case'!F130)*'Business case'!F133,"")</f>
        <v>0</v>
      </c>
      <c r="G136" s="9">
        <f>IFERROR(G130*Prijzen!$B$83+('Business case'!G129-'Business case'!G130)*'Business case'!G133,"")</f>
        <v>0</v>
      </c>
      <c r="H136" s="9">
        <f>IFERROR(H130*Prijzen!$B$83+('Business case'!H129-'Business case'!H130)*'Business case'!H133,"")</f>
        <v>0</v>
      </c>
      <c r="I136" s="9">
        <f>IFERROR(I130*Prijzen!$B$83+('Business case'!I129-'Business case'!I130)*'Business case'!I133,"")</f>
        <v>0</v>
      </c>
      <c r="J136" s="9">
        <f>IFERROR(J130*Prijzen!$B$83+('Business case'!J129-'Business case'!J130)*'Business case'!J133,"")</f>
        <v>0</v>
      </c>
      <c r="K136" s="9">
        <f>IFERROR(K130*Prijzen!$B$83+('Business case'!K129-'Business case'!K130)*'Business case'!K133,"")</f>
        <v>0</v>
      </c>
      <c r="L136" s="9">
        <f>IFERROR(L130*Prijzen!$B$83+('Business case'!L129-'Business case'!L130)*'Business case'!L133,"")</f>
        <v>0</v>
      </c>
      <c r="M136" s="9">
        <f>IFERROR(M130*Prijzen!$B$83+('Business case'!M129-'Business case'!M130)*'Business case'!M133,"")</f>
        <v>0</v>
      </c>
      <c r="N136" s="9">
        <f>IFERROR(N130*Prijzen!$B$83+('Business case'!N129-'Business case'!N130)*'Business case'!N133,"")</f>
        <v>0</v>
      </c>
      <c r="O136" s="9">
        <f>IFERROR(O130*Prijzen!$B$83+('Business case'!O129-'Business case'!O130)*'Business case'!O133,"")</f>
        <v>0</v>
      </c>
      <c r="P136" s="9">
        <f>IFERROR(P130*Prijzen!$B$83+('Business case'!P129-'Business case'!P130)*'Business case'!P133,"")</f>
        <v>0</v>
      </c>
      <c r="Q136" s="9">
        <f>IFERROR(Q130*Prijzen!$B$83+('Business case'!Q129-'Business case'!Q130)*'Business case'!Q133,"")</f>
        <v>0</v>
      </c>
      <c r="R136" s="9">
        <f>IFERROR(R130*Prijzen!$B$83+('Business case'!R129-'Business case'!R130)*'Business case'!R133,"")</f>
        <v>0</v>
      </c>
      <c r="S136" s="9">
        <f>IFERROR(S130*Prijzen!$B$83+('Business case'!S129-'Business case'!S130)*'Business case'!S133,"")</f>
        <v>0</v>
      </c>
      <c r="T136" s="9">
        <f>IFERROR(T130*Prijzen!$B$83+('Business case'!T129-'Business case'!T130)*'Business case'!T133,"")</f>
        <v>0</v>
      </c>
      <c r="U136" s="9">
        <f>IFERROR(U130*Prijzen!$B$83+('Business case'!U129-'Business case'!U130)*'Business case'!U133,"")</f>
        <v>0</v>
      </c>
      <c r="V136" s="9">
        <f>IFERROR(V130*Prijzen!$B$83+('Business case'!V129-'Business case'!V130)*'Business case'!V133,"")</f>
        <v>0</v>
      </c>
      <c r="W136" s="9">
        <f>IFERROR(W130*Prijzen!$B$83+('Business case'!W129-'Business case'!W130)*'Business case'!W133,"")</f>
        <v>0</v>
      </c>
      <c r="X136" s="9">
        <f>IFERROR(X130*Prijzen!$B$83+('Business case'!X129-'Business case'!X130)*'Business case'!X133,"")</f>
        <v>0</v>
      </c>
      <c r="Y136" s="9">
        <f>IFERROR(Y130*Prijzen!$B$83+('Business case'!Y129-'Business case'!Y130)*'Business case'!Y133,"")</f>
        <v>0</v>
      </c>
      <c r="Z136" s="9">
        <f>IFERROR(Z130*Prijzen!$B$83+('Business case'!Z129-'Business case'!Z130)*'Business case'!Z133,"")</f>
        <v>0</v>
      </c>
      <c r="AA136" s="9">
        <f>IFERROR(AA130*Prijzen!$B$83+('Business case'!AA129-'Business case'!AA130)*'Business case'!AA133,"")</f>
        <v>0</v>
      </c>
      <c r="AB136" s="9">
        <f>IFERROR(AB130*Prijzen!$B$83+('Business case'!AB129-'Business case'!AB130)*'Business case'!AB133,"")</f>
        <v>0</v>
      </c>
      <c r="AC136" s="9"/>
      <c r="AD136" s="9">
        <f t="shared" si="60"/>
        <v>0</v>
      </c>
    </row>
    <row r="137" spans="1:30" outlineLevel="1" x14ac:dyDescent="0.25">
      <c r="A137" t="s">
        <v>78</v>
      </c>
      <c r="B137" s="9">
        <f>IFERROR(B132*Prijzen!$C$83+('Business case'!B131-'Business case'!B132)*'Business case'!B134,"")</f>
        <v>0</v>
      </c>
      <c r="C137" s="9">
        <f>IFERROR(C132*Prijzen!$C$83+('Business case'!C131-'Business case'!C132)*'Business case'!C134,"")</f>
        <v>457.84370044017987</v>
      </c>
      <c r="D137" s="9">
        <f>IFERROR(D132*Prijzen!$C$83+('Business case'!D131-'Business case'!D132)*'Business case'!D134,"")</f>
        <v>413.17037077080658</v>
      </c>
      <c r="E137" s="9">
        <f>IFERROR(E132*Prijzen!$C$83+('Business case'!E131-'Business case'!E132)*'Business case'!E134,"")</f>
        <v>392.00423001552002</v>
      </c>
      <c r="F137" s="9">
        <f>IFERROR(F132*Prijzen!$C$83+('Business case'!F131-'Business case'!F132)*'Business case'!F134,"")</f>
        <v>372.90085593902131</v>
      </c>
      <c r="G137" s="9">
        <f>IFERROR(G132*Prijzen!$C$83+('Business case'!G131-'Business case'!G132)*'Business case'!G134,"")</f>
        <v>377.08250332084918</v>
      </c>
      <c r="H137" s="9">
        <f>IFERROR(H132*Prijzen!$C$83+('Business case'!H131-'Business case'!H132)*'Business case'!H134,"")</f>
        <v>388.51270752397505</v>
      </c>
      <c r="I137" s="9">
        <f>IFERROR(I132*Prijzen!$C$83+('Business case'!I131-'Business case'!I132)*'Business case'!I134,"")</f>
        <v>391.78822935945931</v>
      </c>
      <c r="J137" s="9">
        <f>IFERROR(J132*Prijzen!$C$83+('Business case'!J131-'Business case'!J132)*'Business case'!J134,"")</f>
        <v>395.12926163165326</v>
      </c>
      <c r="K137" s="9">
        <f>IFERROR(K132*Prijzen!$C$83+('Business case'!K131-'Business case'!K132)*'Business case'!K134,"")</f>
        <v>398.53711454929106</v>
      </c>
      <c r="L137" s="9">
        <f>IFERROR(L132*Prijzen!$C$83+('Business case'!L131-'Business case'!L132)*'Business case'!L134,"")</f>
        <v>402.01312452528163</v>
      </c>
      <c r="M137" s="9">
        <f>IFERROR(M132*Prijzen!$C$83+('Business case'!M131-'Business case'!M132)*'Business case'!M134,"")</f>
        <v>405.55865470079203</v>
      </c>
      <c r="N137" s="9">
        <f>IFERROR(N132*Prijzen!$C$83+('Business case'!N131-'Business case'!N132)*'Business case'!N134,"")</f>
        <v>409.17509547981263</v>
      </c>
      <c r="O137" s="9">
        <f>IFERROR(O132*Prijzen!$C$83+('Business case'!O131-'Business case'!O132)*'Business case'!O134,"")</f>
        <v>412.86386507441358</v>
      </c>
      <c r="P137" s="9">
        <f>IFERROR(P132*Prijzen!$C$83+('Business case'!P131-'Business case'!P132)*'Business case'!P134,"")</f>
        <v>416.62641006090661</v>
      </c>
      <c r="Q137" s="9">
        <f>IFERROR(Q132*Prijzen!$C$83+('Business case'!Q131-'Business case'!Q132)*'Business case'!Q134,"")</f>
        <v>420.46420594712953</v>
      </c>
      <c r="R137" s="9">
        <f>IFERROR(R132*Prijzen!$C$83+('Business case'!R131-'Business case'!R132)*'Business case'!R134,"")</f>
        <v>0</v>
      </c>
      <c r="S137" s="9">
        <f>IFERROR(S132*Prijzen!$C$83+('Business case'!S131-'Business case'!S132)*'Business case'!S134,"")</f>
        <v>0</v>
      </c>
      <c r="T137" s="9">
        <f>IFERROR(T132*Prijzen!$C$83+('Business case'!T131-'Business case'!T132)*'Business case'!T134,"")</f>
        <v>0</v>
      </c>
      <c r="U137" s="9">
        <f>IFERROR(U132*Prijzen!$C$83+('Business case'!U131-'Business case'!U132)*'Business case'!U134,"")</f>
        <v>0</v>
      </c>
      <c r="V137" s="9">
        <f>IFERROR(V132*Prijzen!$C$83+('Business case'!V131-'Business case'!V132)*'Business case'!V134,"")</f>
        <v>0</v>
      </c>
      <c r="W137" s="9">
        <f>IFERROR(W132*Prijzen!$C$83+('Business case'!W131-'Business case'!W132)*'Business case'!W134,"")</f>
        <v>0</v>
      </c>
      <c r="X137" s="9">
        <f>IFERROR(X132*Prijzen!$C$83+('Business case'!X131-'Business case'!X132)*'Business case'!X134,"")</f>
        <v>0</v>
      </c>
      <c r="Y137" s="9">
        <f>IFERROR(Y132*Prijzen!$C$83+('Business case'!Y131-'Business case'!Y132)*'Business case'!Y134,"")</f>
        <v>0</v>
      </c>
      <c r="Z137" s="9">
        <f>IFERROR(Z132*Prijzen!$C$83+('Business case'!Z131-'Business case'!Z132)*'Business case'!Z134,"")</f>
        <v>0</v>
      </c>
      <c r="AA137" s="9">
        <f>IFERROR(AA132*Prijzen!$C$83+('Business case'!AA131-'Business case'!AA132)*'Business case'!AA134,"")</f>
        <v>0</v>
      </c>
      <c r="AB137" s="9">
        <f>IFERROR(AB132*Prijzen!$C$83+('Business case'!AB131-'Business case'!AB132)*'Business case'!AB134,"")</f>
        <v>0</v>
      </c>
      <c r="AC137" s="9"/>
      <c r="AD137" s="9">
        <f t="shared" si="60"/>
        <v>6053.6703293390919</v>
      </c>
    </row>
    <row r="138" spans="1:30" outlineLevel="1" x14ac:dyDescent="0.25">
      <c r="A138" t="s">
        <v>70</v>
      </c>
      <c r="B138" s="9">
        <f>IF($C$4=100%,0,B39)</f>
        <v>0</v>
      </c>
      <c r="C138" s="9">
        <f t="shared" ref="C138:AB138" si="63">IF($C$4=100%,0,C39)</f>
        <v>0</v>
      </c>
      <c r="D138" s="9">
        <f t="shared" si="63"/>
        <v>0</v>
      </c>
      <c r="E138" s="9">
        <f t="shared" si="63"/>
        <v>0</v>
      </c>
      <c r="F138" s="9">
        <f t="shared" si="63"/>
        <v>0</v>
      </c>
      <c r="G138" s="9">
        <f t="shared" si="63"/>
        <v>0</v>
      </c>
      <c r="H138" s="9">
        <f t="shared" si="63"/>
        <v>0</v>
      </c>
      <c r="I138" s="9">
        <f t="shared" si="63"/>
        <v>0</v>
      </c>
      <c r="J138" s="9">
        <f t="shared" si="63"/>
        <v>0</v>
      </c>
      <c r="K138" s="9">
        <f t="shared" si="63"/>
        <v>0</v>
      </c>
      <c r="L138" s="9">
        <f t="shared" si="63"/>
        <v>0</v>
      </c>
      <c r="M138" s="9">
        <f t="shared" si="63"/>
        <v>0</v>
      </c>
      <c r="N138" s="9">
        <f t="shared" si="63"/>
        <v>0</v>
      </c>
      <c r="O138" s="9">
        <f t="shared" si="63"/>
        <v>0</v>
      </c>
      <c r="P138" s="9">
        <f t="shared" si="63"/>
        <v>0</v>
      </c>
      <c r="Q138" s="9">
        <f t="shared" si="63"/>
        <v>0</v>
      </c>
      <c r="R138" s="9">
        <f t="shared" si="63"/>
        <v>0</v>
      </c>
      <c r="S138" s="9">
        <f t="shared" si="63"/>
        <v>0</v>
      </c>
      <c r="T138" s="9">
        <f t="shared" si="63"/>
        <v>0</v>
      </c>
      <c r="U138" s="9">
        <f t="shared" si="63"/>
        <v>0</v>
      </c>
      <c r="V138" s="9">
        <f t="shared" si="63"/>
        <v>0</v>
      </c>
      <c r="W138" s="9">
        <f t="shared" si="63"/>
        <v>0</v>
      </c>
      <c r="X138" s="9">
        <f t="shared" si="63"/>
        <v>0</v>
      </c>
      <c r="Y138" s="9">
        <f t="shared" si="63"/>
        <v>0</v>
      </c>
      <c r="Z138" s="9">
        <f t="shared" si="63"/>
        <v>0</v>
      </c>
      <c r="AA138" s="9">
        <f t="shared" si="63"/>
        <v>0</v>
      </c>
      <c r="AB138" s="9">
        <f t="shared" si="63"/>
        <v>0</v>
      </c>
      <c r="AC138" s="9"/>
      <c r="AD138" s="9">
        <f t="shared" si="60"/>
        <v>0</v>
      </c>
    </row>
    <row r="139" spans="1:30" outlineLevel="1" x14ac:dyDescent="0.25">
      <c r="A139" t="s">
        <v>21</v>
      </c>
      <c r="B139" s="9">
        <f t="shared" ref="B139:AB139" si="64">IF($C$4=100%,0,B124)</f>
        <v>0</v>
      </c>
      <c r="C139" s="9">
        <f t="shared" si="64"/>
        <v>0</v>
      </c>
      <c r="D139" s="9">
        <f t="shared" si="64"/>
        <v>0</v>
      </c>
      <c r="E139" s="9">
        <f t="shared" si="64"/>
        <v>0</v>
      </c>
      <c r="F139" s="9">
        <f t="shared" si="64"/>
        <v>0</v>
      </c>
      <c r="G139" s="9">
        <f t="shared" si="64"/>
        <v>0</v>
      </c>
      <c r="H139" s="9">
        <f t="shared" si="64"/>
        <v>0</v>
      </c>
      <c r="I139" s="9">
        <f t="shared" si="64"/>
        <v>0</v>
      </c>
      <c r="J139" s="9">
        <f t="shared" si="64"/>
        <v>0</v>
      </c>
      <c r="K139" s="9">
        <f t="shared" si="64"/>
        <v>0</v>
      </c>
      <c r="L139" s="9">
        <f t="shared" si="64"/>
        <v>0</v>
      </c>
      <c r="M139" s="9">
        <f t="shared" si="64"/>
        <v>0</v>
      </c>
      <c r="N139" s="9">
        <f t="shared" si="64"/>
        <v>0</v>
      </c>
      <c r="O139" s="9">
        <f t="shared" si="64"/>
        <v>0</v>
      </c>
      <c r="P139" s="9">
        <f t="shared" si="64"/>
        <v>0</v>
      </c>
      <c r="Q139" s="9">
        <f t="shared" si="64"/>
        <v>0</v>
      </c>
      <c r="R139" s="9">
        <f t="shared" si="64"/>
        <v>0</v>
      </c>
      <c r="S139" s="9">
        <f t="shared" si="64"/>
        <v>0</v>
      </c>
      <c r="T139" s="9">
        <f t="shared" si="64"/>
        <v>0</v>
      </c>
      <c r="U139" s="9">
        <f t="shared" si="64"/>
        <v>0</v>
      </c>
      <c r="V139" s="9">
        <f t="shared" si="64"/>
        <v>0</v>
      </c>
      <c r="W139" s="9">
        <f t="shared" si="64"/>
        <v>0</v>
      </c>
      <c r="X139" s="9">
        <f t="shared" si="64"/>
        <v>0</v>
      </c>
      <c r="Y139" s="9">
        <f t="shared" si="64"/>
        <v>0</v>
      </c>
      <c r="Z139" s="9">
        <f t="shared" si="64"/>
        <v>0</v>
      </c>
      <c r="AA139" s="9">
        <f t="shared" si="64"/>
        <v>0</v>
      </c>
      <c r="AB139" s="9">
        <f t="shared" si="64"/>
        <v>0</v>
      </c>
      <c r="AC139" s="9"/>
      <c r="AD139" s="9">
        <f t="shared" si="60"/>
        <v>0</v>
      </c>
    </row>
    <row r="140" spans="1:30" outlineLevel="1" x14ac:dyDescent="0.25">
      <c r="A140" t="s">
        <v>71</v>
      </c>
      <c r="B140" s="9">
        <f>IF(B$33="JA",IF($C$4="100"%,0,Prijzen!D132),0)</f>
        <v>0</v>
      </c>
      <c r="C140" s="9">
        <f>IF(C$33="JA",IF($C$4="100"%,0,Prijzen!E132),0)</f>
        <v>0</v>
      </c>
      <c r="D140" s="9">
        <f>IF(D$33="JA",IF($C$4="100"%,0,Prijzen!F132),0)</f>
        <v>0</v>
      </c>
      <c r="E140" s="9">
        <f>IF(E$33="JA",IF($C$4="100"%,0,Prijzen!G132),0)</f>
        <v>0</v>
      </c>
      <c r="F140" s="9">
        <f>IF(F$33="JA",IF($C$4="100"%,0,Prijzen!H132),0)</f>
        <v>0</v>
      </c>
      <c r="G140" s="9">
        <f>IF(G$33="JA",IF($C$4="100"%,0,Prijzen!I132),0)</f>
        <v>0</v>
      </c>
      <c r="H140" s="9">
        <f>IF(H$33="JA",IF($C$4="100"%,0,Prijzen!J132),0)</f>
        <v>0</v>
      </c>
      <c r="I140" s="9">
        <f>IF(I$33="JA",IF($C$4="100"%,0,Prijzen!K132),0)</f>
        <v>0</v>
      </c>
      <c r="J140" s="9">
        <f>IF(J$33="JA",IF($C$4="100"%,0,Prijzen!L132),0)</f>
        <v>0</v>
      </c>
      <c r="K140" s="9">
        <f>IF(K$33="JA",IF($C$4="100"%,0,Prijzen!M132),0)</f>
        <v>0</v>
      </c>
      <c r="L140" s="9">
        <f>IF(L$33="JA",IF($C$4="100"%,0,Prijzen!N132),0)</f>
        <v>0</v>
      </c>
      <c r="M140" s="9">
        <f>IF(M$33="JA",IF($C$4="100"%,0,Prijzen!O132),0)</f>
        <v>0</v>
      </c>
      <c r="N140" s="9">
        <f>IF(N$33="JA",IF($C$4="100"%,0,Prijzen!P132),0)</f>
        <v>0</v>
      </c>
      <c r="O140" s="9">
        <f>IF(O$33="JA",IF($C$4="100"%,0,Prijzen!Q132),0)</f>
        <v>0</v>
      </c>
      <c r="P140" s="9">
        <f>IF(P$33="JA",IF($C$4="100"%,0,Prijzen!R132),0)</f>
        <v>0</v>
      </c>
      <c r="Q140" s="9">
        <f>IF(Q$33="JA",IF($C$4="100"%,0,Prijzen!S132),0)</f>
        <v>0</v>
      </c>
      <c r="R140" s="9">
        <f>IF(R$33="JA",IF($C$4="100"%,0,Prijzen!T132),0)</f>
        <v>0</v>
      </c>
      <c r="S140" s="9">
        <f>IF(S$33="JA",IF($C$4="100"%,0,Prijzen!U132),0)</f>
        <v>0</v>
      </c>
      <c r="T140" s="9">
        <f>IF(T$33="JA",IF($C$4="100"%,0,Prijzen!V132),0)</f>
        <v>0</v>
      </c>
      <c r="U140" s="9">
        <f>IF(U$33="JA",IF($C$4="100"%,0,Prijzen!W132),0)</f>
        <v>0</v>
      </c>
      <c r="V140" s="9">
        <f>IF(V$33="JA",IF($C$4="100"%,0,Prijzen!X132),0)</f>
        <v>0</v>
      </c>
      <c r="W140" s="9">
        <f>IF(W$33="JA",IF($C$4="100"%,0,Prijzen!Y132),0)</f>
        <v>0</v>
      </c>
      <c r="X140" s="9">
        <f>IF(X$33="JA",IF($C$4="100"%,0,Prijzen!Z132),0)</f>
        <v>0</v>
      </c>
      <c r="Y140" s="9">
        <f>IF(Y$33="JA",IF($C$4="100"%,0,Prijzen!AA132),0)</f>
        <v>0</v>
      </c>
      <c r="Z140" s="9">
        <f>IF(Z$33="JA",IF($C$4="100"%,0,Prijzen!AB132),0)</f>
        <v>0</v>
      </c>
      <c r="AA140" s="9">
        <f>IF(AA$33="JA",IF($C$4="100"%,0,Prijzen!AC132),0)</f>
        <v>0</v>
      </c>
      <c r="AB140" s="9">
        <f>IF(AB$33="JA",IF($C$4="100"%,0,Prijzen!AD132),0)</f>
        <v>0</v>
      </c>
      <c r="AC140" s="9"/>
      <c r="AD140" s="9">
        <f t="shared" si="60"/>
        <v>0</v>
      </c>
    </row>
    <row r="141" spans="1:30" outlineLevel="1" x14ac:dyDescent="0.25">
      <c r="A141" t="s">
        <v>79</v>
      </c>
      <c r="B141" s="9">
        <f t="shared" ref="B141:AB141" si="65">IF(B$33="JA",-PMT($F$17,15,$F$15,0,1),0)</f>
        <v>0</v>
      </c>
      <c r="C141" s="9">
        <f t="shared" si="65"/>
        <v>1448.861363592797</v>
      </c>
      <c r="D141" s="9">
        <f t="shared" si="65"/>
        <v>1448.861363592797</v>
      </c>
      <c r="E141" s="9">
        <f t="shared" si="65"/>
        <v>1448.861363592797</v>
      </c>
      <c r="F141" s="9">
        <f t="shared" si="65"/>
        <v>1448.861363592797</v>
      </c>
      <c r="G141" s="9">
        <f t="shared" si="65"/>
        <v>1448.861363592797</v>
      </c>
      <c r="H141" s="9">
        <f t="shared" si="65"/>
        <v>1448.861363592797</v>
      </c>
      <c r="I141" s="9">
        <f t="shared" si="65"/>
        <v>1448.861363592797</v>
      </c>
      <c r="J141" s="9">
        <f t="shared" si="65"/>
        <v>1448.861363592797</v>
      </c>
      <c r="K141" s="9">
        <f t="shared" si="65"/>
        <v>1448.861363592797</v>
      </c>
      <c r="L141" s="9">
        <f t="shared" si="65"/>
        <v>1448.861363592797</v>
      </c>
      <c r="M141" s="9">
        <f t="shared" si="65"/>
        <v>1448.861363592797</v>
      </c>
      <c r="N141" s="9">
        <f t="shared" si="65"/>
        <v>1448.861363592797</v>
      </c>
      <c r="O141" s="9">
        <f t="shared" si="65"/>
        <v>1448.861363592797</v>
      </c>
      <c r="P141" s="9">
        <f t="shared" si="65"/>
        <v>1448.861363592797</v>
      </c>
      <c r="Q141" s="9">
        <f t="shared" si="65"/>
        <v>1448.861363592797</v>
      </c>
      <c r="R141" s="9">
        <f t="shared" si="65"/>
        <v>0</v>
      </c>
      <c r="S141" s="9">
        <f t="shared" si="65"/>
        <v>0</v>
      </c>
      <c r="T141" s="9">
        <f t="shared" si="65"/>
        <v>0</v>
      </c>
      <c r="U141" s="9">
        <f t="shared" si="65"/>
        <v>0</v>
      </c>
      <c r="V141" s="9">
        <f t="shared" si="65"/>
        <v>0</v>
      </c>
      <c r="W141" s="9">
        <f t="shared" si="65"/>
        <v>0</v>
      </c>
      <c r="X141" s="9">
        <f t="shared" si="65"/>
        <v>0</v>
      </c>
      <c r="Y141" s="9">
        <f t="shared" si="65"/>
        <v>0</v>
      </c>
      <c r="Z141" s="9">
        <f t="shared" si="65"/>
        <v>0</v>
      </c>
      <c r="AA141" s="9">
        <f t="shared" si="65"/>
        <v>0</v>
      </c>
      <c r="AB141" s="9">
        <f t="shared" si="65"/>
        <v>0</v>
      </c>
      <c r="AC141" s="9"/>
      <c r="AD141" s="9">
        <f t="shared" si="60"/>
        <v>21732.920453891962</v>
      </c>
    </row>
    <row r="142" spans="1:30" outlineLevel="1" x14ac:dyDescent="0.25">
      <c r="A142" t="s">
        <v>27</v>
      </c>
      <c r="B142" s="9">
        <f>IF(B$33="JA",Kengetallen!$B$62*(1+Kengetallen!$B$2)^'Business case'!B$32,0)</f>
        <v>0</v>
      </c>
      <c r="C142" s="9">
        <f>IF(C$33="JA",Kengetallen!$B$62*(1+Kengetallen!$B$2)^'Business case'!C$32,0)</f>
        <v>153</v>
      </c>
      <c r="D142" s="9">
        <f>IF(D$33="JA",Kengetallen!$B$62*(1+Kengetallen!$B$2)^'Business case'!D$32,0)</f>
        <v>156.06</v>
      </c>
      <c r="E142" s="9">
        <f>IF(E$33="JA",Kengetallen!$B$62*(1+Kengetallen!$B$2)^'Business case'!E$32,0)</f>
        <v>159.18119999999999</v>
      </c>
      <c r="F142" s="9">
        <f>IF(F$33="JA",Kengetallen!$B$62*(1+Kengetallen!$B$2)^'Business case'!F$32,0)</f>
        <v>162.364824</v>
      </c>
      <c r="G142" s="9">
        <f>IF(G$33="JA",Kengetallen!$B$62*(1+Kengetallen!$B$2)^'Business case'!G$32,0)</f>
        <v>165.61212048000002</v>
      </c>
      <c r="H142" s="9">
        <f>IF(H$33="JA",Kengetallen!$B$62*(1+Kengetallen!$B$2)^'Business case'!H$32,0)</f>
        <v>168.92436288960002</v>
      </c>
      <c r="I142" s="9">
        <f>IF(I$33="JA",Kengetallen!$B$62*(1+Kengetallen!$B$2)^'Business case'!I$32,0)</f>
        <v>172.30285014739198</v>
      </c>
      <c r="J142" s="9">
        <f>IF(J$33="JA",Kengetallen!$B$62*(1+Kengetallen!$B$2)^'Business case'!J$32,0)</f>
        <v>175.74890715033982</v>
      </c>
      <c r="K142" s="9">
        <f>IF(K$33="JA",Kengetallen!$B$62*(1+Kengetallen!$B$2)^'Business case'!K$32,0)</f>
        <v>179.26388529334662</v>
      </c>
      <c r="L142" s="9">
        <f>IF(L$33="JA",Kengetallen!$B$62*(1+Kengetallen!$B$2)^'Business case'!L$32,0)</f>
        <v>182.84916299921358</v>
      </c>
      <c r="M142" s="9">
        <f>IF(M$33="JA",Kengetallen!$B$62*(1+Kengetallen!$B$2)^'Business case'!M$32,0)</f>
        <v>186.50614625919781</v>
      </c>
      <c r="N142" s="9">
        <f>IF(N$33="JA",Kengetallen!$B$62*(1+Kengetallen!$B$2)^'Business case'!N$32,0)</f>
        <v>190.2362691843818</v>
      </c>
      <c r="O142" s="9">
        <f>IF(O$33="JA",Kengetallen!$B$62*(1+Kengetallen!$B$2)^'Business case'!O$32,0)</f>
        <v>194.04099456806941</v>
      </c>
      <c r="P142" s="9">
        <f>IF(P$33="JA",Kengetallen!$B$62*(1+Kengetallen!$B$2)^'Business case'!P$32,0)</f>
        <v>197.92181445943083</v>
      </c>
      <c r="Q142" s="9">
        <f>IF(Q$33="JA",Kengetallen!$B$62*(1+Kengetallen!$B$2)^'Business case'!Q$32,0)</f>
        <v>201.88025074861937</v>
      </c>
      <c r="R142" s="9">
        <f>IF(R$33="JA",Kengetallen!$B$62*(1+Kengetallen!$B$2)^'Business case'!R$32,0)</f>
        <v>0</v>
      </c>
      <c r="S142" s="9">
        <f>IF(S$33="JA",Kengetallen!$B$62*(1+Kengetallen!$B$2)^'Business case'!S$32,0)</f>
        <v>0</v>
      </c>
      <c r="T142" s="9">
        <f>IF(T$33="JA",Kengetallen!$B$62*(1+Kengetallen!$B$2)^'Business case'!T$32,0)</f>
        <v>0</v>
      </c>
      <c r="U142" s="9">
        <f>IF(U$33="JA",Kengetallen!$B$62*(1+Kengetallen!$B$2)^'Business case'!U$32,0)</f>
        <v>0</v>
      </c>
      <c r="V142" s="9">
        <f>IF(V$33="JA",Kengetallen!$B$62*(1+Kengetallen!$B$2)^'Business case'!V$32,0)</f>
        <v>0</v>
      </c>
      <c r="W142" s="9">
        <f>IF(W$33="JA",Kengetallen!$B$62*(1+Kengetallen!$B$2)^'Business case'!W$32,0)</f>
        <v>0</v>
      </c>
      <c r="X142" s="9">
        <f>IF(X$33="JA",Kengetallen!$B$62*(1+Kengetallen!$B$2)^'Business case'!X$32,0)</f>
        <v>0</v>
      </c>
      <c r="Y142" s="9">
        <f>IF(Y$33="JA",Kengetallen!$B$62*(1+Kengetallen!$B$2)^'Business case'!Y$32,0)</f>
        <v>0</v>
      </c>
      <c r="Z142" s="9">
        <f>IF(Z$33="JA",Kengetallen!$B$62*(1+Kengetallen!$B$2)^'Business case'!Z$32,0)</f>
        <v>0</v>
      </c>
      <c r="AA142" s="9">
        <f>IF(AA$33="JA",Kengetallen!$B$62*(1+Kengetallen!$B$2)^'Business case'!AA$32,0)</f>
        <v>0</v>
      </c>
      <c r="AB142" s="9">
        <f>IF(AB$33="JA",Kengetallen!$B$62*(1+Kengetallen!$B$2)^'Business case'!AB$32,0)</f>
        <v>0</v>
      </c>
      <c r="AC142" s="9"/>
      <c r="AD142" s="9">
        <f t="shared" si="60"/>
        <v>2645.8927881795912</v>
      </c>
    </row>
    <row r="143" spans="1:30" outlineLevel="1" x14ac:dyDescent="0.25">
      <c r="A143" t="s">
        <v>80</v>
      </c>
      <c r="B143" s="25">
        <f>IF(B$33="JA",($F$19+$C$7)*(1+Kengetallen!$B$19)^B$32,0)</f>
        <v>0</v>
      </c>
      <c r="C143" s="25">
        <f>IF(C$33="JA",($F$19+$C$7)*(1+Kengetallen!$B$19)^C$32,0)</f>
        <v>1647.8976857142857</v>
      </c>
      <c r="D143" s="25">
        <f>IF(D$33="JA",($F$19+$C$7)*(1+Kengetallen!$B$19)^D$32,0)</f>
        <v>1636.3624019142856</v>
      </c>
      <c r="E143" s="25">
        <f>IF(E$33="JA",($F$19+$C$7)*(1+Kengetallen!$B$19)^E$32,0)</f>
        <v>1624.9078651008856</v>
      </c>
      <c r="F143" s="25">
        <f>IF(F$33="JA",($F$19+$C$7)*(1+Kengetallen!$B$19)^F$32,0)</f>
        <v>1613.5335100451794</v>
      </c>
      <c r="G143" s="25">
        <f>IF(G$33="JA",($F$19+$C$7)*(1+Kengetallen!$B$19)^G$32,0)</f>
        <v>1602.2387754748631</v>
      </c>
      <c r="H143" s="25">
        <f>IF(H$33="JA",($F$19+$C$7)*(1+Kengetallen!$B$19)^H$32,0)</f>
        <v>1591.0231040465389</v>
      </c>
      <c r="I143" s="25">
        <f>IF(I$33="JA",($F$19+$C$7)*(1+Kengetallen!$B$19)^I$32,0)</f>
        <v>1579.8859423182132</v>
      </c>
      <c r="J143" s="25">
        <f>IF(J$33="JA",($F$19+$C$7)*(1+Kengetallen!$B$19)^J$32,0)</f>
        <v>1568.8267407219855</v>
      </c>
      <c r="K143" s="25">
        <f>IF(K$33="JA",($F$19+$C$7)*(1+Kengetallen!$B$19)^K$32,0)</f>
        <v>1557.8449535369316</v>
      </c>
      <c r="L143" s="25">
        <f>IF(L$33="JA",($F$19+$C$7)*(1+Kengetallen!$B$19)^L$32,0)</f>
        <v>1546.9400388621732</v>
      </c>
      <c r="M143" s="25">
        <f>IF(M$33="JA",($F$19+$C$7)*(1+Kengetallen!$B$19)^M$32,0)</f>
        <v>1536.1114585901378</v>
      </c>
      <c r="N143" s="25">
        <f>IF(N$33="JA",($F$19+$C$7)*(1+Kengetallen!$B$19)^N$32,0)</f>
        <v>1525.3586783800069</v>
      </c>
      <c r="O143" s="25">
        <f>IF(O$33="JA",($F$19+$C$7)*(1+Kengetallen!$B$19)^O$32,0)</f>
        <v>1514.6811676313469</v>
      </c>
      <c r="P143" s="25">
        <f>IF(P$33="JA",($F$19+$C$7)*(1+Kengetallen!$B$19)^P$32,0)</f>
        <v>1504.0783994579274</v>
      </c>
      <c r="Q143" s="25">
        <f>IF(Q$33="JA",($F$19+$C$7)*(1+Kengetallen!$B$19)^Q$32,0)</f>
        <v>1493.5498506617218</v>
      </c>
      <c r="R143" s="25">
        <f>IF(R$33="JA",($F$19+$C$7)*(1+Kengetallen!$B$19)^R$32,0)</f>
        <v>0</v>
      </c>
      <c r="S143" s="25">
        <f>IF(S$33="JA",($F$19+$C$7)*(1+Kengetallen!$B$19)^S$32,0)</f>
        <v>0</v>
      </c>
      <c r="T143" s="25">
        <f>IF(T$33="JA",($F$19+$C$7)*(1+Kengetallen!$B$19)^T$32,0)</f>
        <v>0</v>
      </c>
      <c r="U143" s="25">
        <f>IF(U$33="JA",($F$19+$C$7)*(1+Kengetallen!$B$19)^U$32,0)</f>
        <v>0</v>
      </c>
      <c r="V143" s="25">
        <f>IF(V$33="JA",($F$19+$C$7)*(1+Kengetallen!$B$19)^V$32,0)</f>
        <v>0</v>
      </c>
      <c r="W143" s="25">
        <f>IF(W$33="JA",($F$19+$C$7)*(1+Kengetallen!$B$19)^W$32,0)</f>
        <v>0</v>
      </c>
      <c r="X143" s="25">
        <f>IF(X$33="JA",($F$19+$C$7)*(1+Kengetallen!$B$19)^X$32,0)</f>
        <v>0</v>
      </c>
      <c r="Y143" s="25">
        <f>IF(Y$33="JA",($F$19+$C$7)*(1+Kengetallen!$B$19)^Y$32,0)</f>
        <v>0</v>
      </c>
      <c r="Z143" s="25">
        <f>IF(Z$33="JA",($F$19+$C$7)*(1+Kengetallen!$B$19)^Z$32,0)</f>
        <v>0</v>
      </c>
      <c r="AA143" s="25">
        <f>IF(AA$33="JA",($F$19+$C$7)*(1+Kengetallen!$B$19)^AA$32,0)</f>
        <v>0</v>
      </c>
      <c r="AB143" s="25">
        <f>IF(AB$33="JA",($F$19+$C$7)*(1+Kengetallen!$B$19)^AB$32,0)</f>
        <v>0</v>
      </c>
      <c r="AC143" s="25"/>
      <c r="AD143" s="25">
        <f t="shared" si="60"/>
        <v>23543.240572456481</v>
      </c>
    </row>
    <row r="144" spans="1:30" outlineLevel="1" x14ac:dyDescent="0.25">
      <c r="A144" t="s">
        <v>81</v>
      </c>
      <c r="B144" s="25">
        <f t="shared" ref="B144:AB144" si="66">IF(B$33="JA",B143*$F$16,0)</f>
        <v>0</v>
      </c>
      <c r="C144" s="25">
        <f t="shared" si="66"/>
        <v>659.15907428571427</v>
      </c>
      <c r="D144" s="25">
        <f t="shared" si="66"/>
        <v>654.54496076571422</v>
      </c>
      <c r="E144" s="25">
        <f t="shared" si="66"/>
        <v>649.96314604035433</v>
      </c>
      <c r="F144" s="25">
        <f t="shared" si="66"/>
        <v>645.41340401807179</v>
      </c>
      <c r="G144" s="25">
        <f t="shared" si="66"/>
        <v>640.8955101899453</v>
      </c>
      <c r="H144" s="25">
        <f t="shared" si="66"/>
        <v>636.40924161861562</v>
      </c>
      <c r="I144" s="25">
        <f t="shared" si="66"/>
        <v>631.95437692728535</v>
      </c>
      <c r="J144" s="25">
        <f t="shared" si="66"/>
        <v>627.53069628879427</v>
      </c>
      <c r="K144" s="25">
        <f t="shared" si="66"/>
        <v>623.13798141477264</v>
      </c>
      <c r="L144" s="25">
        <f t="shared" si="66"/>
        <v>618.77601554486932</v>
      </c>
      <c r="M144" s="25">
        <f t="shared" si="66"/>
        <v>614.44458343605515</v>
      </c>
      <c r="N144" s="25">
        <f t="shared" si="66"/>
        <v>610.14347135200285</v>
      </c>
      <c r="O144" s="25">
        <f t="shared" si="66"/>
        <v>605.87246705253881</v>
      </c>
      <c r="P144" s="25">
        <f t="shared" si="66"/>
        <v>601.63135978317098</v>
      </c>
      <c r="Q144" s="25">
        <f t="shared" si="66"/>
        <v>597.41994026468876</v>
      </c>
      <c r="R144" s="25">
        <f t="shared" si="66"/>
        <v>0</v>
      </c>
      <c r="S144" s="25">
        <f t="shared" si="66"/>
        <v>0</v>
      </c>
      <c r="T144" s="25">
        <f t="shared" si="66"/>
        <v>0</v>
      </c>
      <c r="U144" s="25">
        <f t="shared" si="66"/>
        <v>0</v>
      </c>
      <c r="V144" s="25">
        <f t="shared" si="66"/>
        <v>0</v>
      </c>
      <c r="W144" s="25">
        <f t="shared" si="66"/>
        <v>0</v>
      </c>
      <c r="X144" s="25">
        <f t="shared" si="66"/>
        <v>0</v>
      </c>
      <c r="Y144" s="25">
        <f t="shared" si="66"/>
        <v>0</v>
      </c>
      <c r="Z144" s="25">
        <f t="shared" si="66"/>
        <v>0</v>
      </c>
      <c r="AA144" s="25">
        <f t="shared" si="66"/>
        <v>0</v>
      </c>
      <c r="AB144" s="25">
        <f t="shared" si="66"/>
        <v>0</v>
      </c>
      <c r="AC144" s="25"/>
      <c r="AD144" s="25">
        <f t="shared" si="60"/>
        <v>9417.2962289825937</v>
      </c>
    </row>
    <row r="145" spans="1:30" outlineLevel="1" x14ac:dyDescent="0.25">
      <c r="A145" t="s">
        <v>82</v>
      </c>
      <c r="B145" s="25">
        <f>IF(B$33="JA",($C$2+B131-B144)*Prijzen!D$62,0)</f>
        <v>0</v>
      </c>
      <c r="C145" s="25">
        <f>IF(C$33="JA",($C$2+C131-C144)*Prijzen!E$62,0)</f>
        <v>2880.2273353142855</v>
      </c>
      <c r="D145" s="25">
        <f>IF(D$33="JA",($C$2+D131-D144)*Prijzen!F$62,0)</f>
        <v>2883.1803679670861</v>
      </c>
      <c r="E145" s="25">
        <f>IF(E$33="JA",($C$2+E131-E144)*Prijzen!G$62,0)</f>
        <v>2480.2531268206621</v>
      </c>
      <c r="F145" s="25">
        <f>IF(F$33="JA",($C$2+F131-F144)*Prijzen!H$62,0)</f>
        <v>2076.4864055802586</v>
      </c>
      <c r="G145" s="25">
        <f>IF(G$33="JA",($C$2+G131-G144)*Prijzen!I$62,0)</f>
        <v>1671.8889469440057</v>
      </c>
      <c r="H145" s="25">
        <f>IF(H$33="JA",($C$2+H131-H144)*Prijzen!J$62,0)</f>
        <v>1266.4694123467875</v>
      </c>
      <c r="I145" s="25">
        <f>IF(I$33="JA",($C$2+I131-I144)*Prijzen!K$62,0)</f>
        <v>0</v>
      </c>
      <c r="J145" s="25">
        <f>IF(J$33="JA",($C$2+J131-J144)*Prijzen!L$62,0)</f>
        <v>0</v>
      </c>
      <c r="K145" s="25">
        <f>IF(K$33="JA",($C$2+K131-K144)*Prijzen!M$62,0)</f>
        <v>0</v>
      </c>
      <c r="L145" s="25">
        <f>IF(L$33="JA",($C$2+L131-L144)*Prijzen!N$62,0)</f>
        <v>0</v>
      </c>
      <c r="M145" s="25">
        <f>IF(M$33="JA",($C$2+M131-M144)*Prijzen!O$62,0)</f>
        <v>0</v>
      </c>
      <c r="N145" s="25">
        <f>IF(N$33="JA",($C$2+N131-N144)*Prijzen!P$62,0)</f>
        <v>0</v>
      </c>
      <c r="O145" s="25">
        <f>IF(O$33="JA",($C$2+O131-O144)*Prijzen!Q$62,0)</f>
        <v>0</v>
      </c>
      <c r="P145" s="25">
        <f>IF(P$33="JA",($C$2+P131-P144)*Prijzen!R$62,0)</f>
        <v>0</v>
      </c>
      <c r="Q145" s="25">
        <f>IF(Q$33="JA",($C$2+Q131-Q144)*Prijzen!S$62,0)</f>
        <v>0</v>
      </c>
      <c r="R145" s="25">
        <f>IF(R$33="JA",($C$2+R131-R144)*Prijzen!T$62,0)</f>
        <v>0</v>
      </c>
      <c r="S145" s="25">
        <f>IF(S$33="JA",($C$2+S131-S144)*Prijzen!U$62,0)</f>
        <v>0</v>
      </c>
      <c r="T145" s="25">
        <f>IF(T$33="JA",($C$2+T131-T144)*Prijzen!V$62,0)</f>
        <v>0</v>
      </c>
      <c r="U145" s="25">
        <f>IF(U$33="JA",($C$2+U131-U144)*Prijzen!W$62,0)</f>
        <v>0</v>
      </c>
      <c r="V145" s="25">
        <f>IF(V$33="JA",($C$2+V131-V144)*Prijzen!X$62,0)</f>
        <v>0</v>
      </c>
      <c r="W145" s="25">
        <f>IF(W$33="JA",($C$2+W131-W144)*Prijzen!Y$62,0)</f>
        <v>0</v>
      </c>
      <c r="X145" s="25">
        <f>IF(X$33="JA",($C$2+X131-X144)*Prijzen!Z$62,0)</f>
        <v>0</v>
      </c>
      <c r="Y145" s="25">
        <f>IF(Y$33="JA",($C$2+Y131-Y144)*Prijzen!AA$62,0)</f>
        <v>0</v>
      </c>
      <c r="Z145" s="25">
        <f>IF(Z$33="JA",($C$2+Z131-Z144)*Prijzen!AB$62,0)</f>
        <v>0</v>
      </c>
      <c r="AA145" s="25">
        <f>IF(AA$33="JA",($C$2+AA131-AA144)*Prijzen!AC$62,0)</f>
        <v>0</v>
      </c>
      <c r="AB145" s="25">
        <f>IF(AB$33="JA",($C$2+AB131-AB144)*Prijzen!AD$62,0)</f>
        <v>0</v>
      </c>
      <c r="AC145" s="25"/>
      <c r="AD145" s="25">
        <f t="shared" si="60"/>
        <v>13258.505594973085</v>
      </c>
    </row>
    <row r="146" spans="1:30" outlineLevel="1" x14ac:dyDescent="0.25">
      <c r="A146" t="s">
        <v>83</v>
      </c>
      <c r="B146" s="25">
        <f>IF(B$33="JA",MIN((B143-B144),B145),0)</f>
        <v>0</v>
      </c>
      <c r="C146" s="25">
        <f>IF(C$33="JA",MIN((C143-C144),C145),0)</f>
        <v>988.7386114285714</v>
      </c>
      <c r="D146" s="25">
        <f t="shared" ref="D146:AB146" si="67">IF(D$33="JA",MIN((D143-D144),D145),0)</f>
        <v>981.81744114857133</v>
      </c>
      <c r="E146" s="25">
        <f t="shared" si="67"/>
        <v>974.94471906053127</v>
      </c>
      <c r="F146" s="25">
        <f t="shared" si="67"/>
        <v>968.12010602710757</v>
      </c>
      <c r="G146" s="25">
        <f t="shared" si="67"/>
        <v>961.34326528491783</v>
      </c>
      <c r="H146" s="25">
        <f t="shared" si="67"/>
        <v>954.61386242792332</v>
      </c>
      <c r="I146" s="25">
        <f t="shared" si="67"/>
        <v>0</v>
      </c>
      <c r="J146" s="25">
        <f t="shared" si="67"/>
        <v>0</v>
      </c>
      <c r="K146" s="25">
        <f t="shared" si="67"/>
        <v>0</v>
      </c>
      <c r="L146" s="25">
        <f t="shared" si="67"/>
        <v>0</v>
      </c>
      <c r="M146" s="25">
        <f t="shared" si="67"/>
        <v>0</v>
      </c>
      <c r="N146" s="25">
        <f t="shared" si="67"/>
        <v>0</v>
      </c>
      <c r="O146" s="25">
        <f t="shared" si="67"/>
        <v>0</v>
      </c>
      <c r="P146" s="25">
        <f t="shared" si="67"/>
        <v>0</v>
      </c>
      <c r="Q146" s="25">
        <f t="shared" si="67"/>
        <v>0</v>
      </c>
      <c r="R146" s="25">
        <f t="shared" si="67"/>
        <v>0</v>
      </c>
      <c r="S146" s="25">
        <f t="shared" si="67"/>
        <v>0</v>
      </c>
      <c r="T146" s="25">
        <f t="shared" si="67"/>
        <v>0</v>
      </c>
      <c r="U146" s="25">
        <f t="shared" si="67"/>
        <v>0</v>
      </c>
      <c r="V146" s="25">
        <f t="shared" si="67"/>
        <v>0</v>
      </c>
      <c r="W146" s="25">
        <f t="shared" si="67"/>
        <v>0</v>
      </c>
      <c r="X146" s="25">
        <f t="shared" si="67"/>
        <v>0</v>
      </c>
      <c r="Y146" s="25">
        <f t="shared" si="67"/>
        <v>0</v>
      </c>
      <c r="Z146" s="25">
        <f t="shared" si="67"/>
        <v>0</v>
      </c>
      <c r="AA146" s="25">
        <f t="shared" si="67"/>
        <v>0</v>
      </c>
      <c r="AB146" s="25">
        <f t="shared" si="67"/>
        <v>0</v>
      </c>
      <c r="AC146" s="25"/>
      <c r="AD146" s="25">
        <f t="shared" si="60"/>
        <v>5829.5780053776234</v>
      </c>
    </row>
    <row r="147" spans="1:30" outlineLevel="1" x14ac:dyDescent="0.25">
      <c r="A147" t="s">
        <v>84</v>
      </c>
      <c r="B147" s="25">
        <f>IF(B$33="JA",B143-B144-B146,0)</f>
        <v>0</v>
      </c>
      <c r="C147" s="25">
        <f>IF(C$33="JA",C143-C144-C146,0)</f>
        <v>0</v>
      </c>
      <c r="D147" s="25">
        <f t="shared" ref="D147:AB147" si="68">IF(D$33="JA",D143-D144-D146,0)</f>
        <v>0</v>
      </c>
      <c r="E147" s="25">
        <f t="shared" si="68"/>
        <v>0</v>
      </c>
      <c r="F147" s="25">
        <f t="shared" si="68"/>
        <v>0</v>
      </c>
      <c r="G147" s="25">
        <f t="shared" si="68"/>
        <v>0</v>
      </c>
      <c r="H147" s="25">
        <f t="shared" si="68"/>
        <v>0</v>
      </c>
      <c r="I147" s="25">
        <f t="shared" si="68"/>
        <v>947.93156539092786</v>
      </c>
      <c r="J147" s="25">
        <f t="shared" si="68"/>
        <v>941.29604443319124</v>
      </c>
      <c r="K147" s="25">
        <f t="shared" si="68"/>
        <v>934.70697212215896</v>
      </c>
      <c r="L147" s="25">
        <f t="shared" si="68"/>
        <v>928.16402331730387</v>
      </c>
      <c r="M147" s="25">
        <f t="shared" si="68"/>
        <v>921.66687515408262</v>
      </c>
      <c r="N147" s="25">
        <f t="shared" si="68"/>
        <v>915.2152070280041</v>
      </c>
      <c r="O147" s="25">
        <f t="shared" si="68"/>
        <v>908.80870057880804</v>
      </c>
      <c r="P147" s="25">
        <f t="shared" si="68"/>
        <v>902.44703967475641</v>
      </c>
      <c r="Q147" s="25">
        <f t="shared" si="68"/>
        <v>896.12991039703309</v>
      </c>
      <c r="R147" s="25">
        <f t="shared" si="68"/>
        <v>0</v>
      </c>
      <c r="S147" s="25">
        <f t="shared" si="68"/>
        <v>0</v>
      </c>
      <c r="T147" s="25">
        <f t="shared" si="68"/>
        <v>0</v>
      </c>
      <c r="U147" s="25">
        <f t="shared" si="68"/>
        <v>0</v>
      </c>
      <c r="V147" s="25">
        <f t="shared" si="68"/>
        <v>0</v>
      </c>
      <c r="W147" s="25">
        <f t="shared" si="68"/>
        <v>0</v>
      </c>
      <c r="X147" s="25">
        <f t="shared" si="68"/>
        <v>0</v>
      </c>
      <c r="Y147" s="25">
        <f t="shared" si="68"/>
        <v>0</v>
      </c>
      <c r="Z147" s="25">
        <f t="shared" si="68"/>
        <v>0</v>
      </c>
      <c r="AA147" s="25">
        <f t="shared" si="68"/>
        <v>0</v>
      </c>
      <c r="AB147" s="25">
        <f t="shared" si="68"/>
        <v>0</v>
      </c>
      <c r="AC147" s="25"/>
      <c r="AD147" s="25">
        <f t="shared" si="60"/>
        <v>8296.3663380962662</v>
      </c>
    </row>
    <row r="148" spans="1:30" outlineLevel="1" x14ac:dyDescent="0.25">
      <c r="A148" t="s">
        <v>85</v>
      </c>
      <c r="B148" s="29">
        <f>IF(B$33="JA",B149/B143,0)</f>
        <v>0</v>
      </c>
      <c r="C148" s="29">
        <f>IF(C$33="JA",C149/C143,0)</f>
        <v>0.275890183279209</v>
      </c>
      <c r="D148" s="29">
        <f t="shared" ref="D148:AB148" si="69">IF(D$33="JA",D149/D143,0)</f>
        <v>0.2489706622760228</v>
      </c>
      <c r="E148" s="29">
        <f t="shared" si="69"/>
        <v>0.23621624314417647</v>
      </c>
      <c r="F148" s="29">
        <f t="shared" si="69"/>
        <v>0.22470481824054794</v>
      </c>
      <c r="G148" s="29">
        <f t="shared" si="69"/>
        <v>0.22722462021985296</v>
      </c>
      <c r="H148" s="29">
        <f t="shared" si="69"/>
        <v>0.23411230073066347</v>
      </c>
      <c r="I148" s="29">
        <f t="shared" si="69"/>
        <v>0.15943753517601439</v>
      </c>
      <c r="J148" s="29">
        <f t="shared" si="69"/>
        <v>0.16024283882442641</v>
      </c>
      <c r="K148" s="29">
        <f t="shared" si="69"/>
        <v>0.16106424854580664</v>
      </c>
      <c r="L148" s="29">
        <f t="shared" si="69"/>
        <v>0.16190208646161452</v>
      </c>
      <c r="M148" s="29">
        <f t="shared" si="69"/>
        <v>0.16275668113573855</v>
      </c>
      <c r="N148" s="29">
        <f t="shared" si="69"/>
        <v>0.16362836770334502</v>
      </c>
      <c r="O148" s="29">
        <f t="shared" si="69"/>
        <v>0.16451748800230365</v>
      </c>
      <c r="P148" s="29">
        <f t="shared" si="69"/>
        <v>0.16542439070724146</v>
      </c>
      <c r="Q148" s="29">
        <f t="shared" si="69"/>
        <v>0.16634943146627801</v>
      </c>
      <c r="R148" s="29">
        <f t="shared" si="69"/>
        <v>0</v>
      </c>
      <c r="S148" s="29">
        <f t="shared" si="69"/>
        <v>0</v>
      </c>
      <c r="T148" s="29">
        <f t="shared" si="69"/>
        <v>0</v>
      </c>
      <c r="U148" s="29">
        <f t="shared" si="69"/>
        <v>0</v>
      </c>
      <c r="V148" s="29">
        <f t="shared" si="69"/>
        <v>0</v>
      </c>
      <c r="W148" s="29">
        <f t="shared" si="69"/>
        <v>0</v>
      </c>
      <c r="X148" s="29">
        <f t="shared" si="69"/>
        <v>0</v>
      </c>
      <c r="Y148" s="29">
        <f t="shared" si="69"/>
        <v>0</v>
      </c>
      <c r="Z148" s="29">
        <f t="shared" si="69"/>
        <v>0</v>
      </c>
      <c r="AA148" s="29">
        <f t="shared" si="69"/>
        <v>0</v>
      </c>
      <c r="AB148" s="29">
        <f t="shared" si="69"/>
        <v>0</v>
      </c>
      <c r="AC148" s="29"/>
      <c r="AD148" s="29">
        <f t="shared" si="60"/>
        <v>2.9124418959132412</v>
      </c>
    </row>
    <row r="149" spans="1:30" outlineLevel="1" x14ac:dyDescent="0.25">
      <c r="A149" t="s">
        <v>29</v>
      </c>
      <c r="B149" s="30">
        <f>IF(B$33="JA",B144*B134+B146*B134+B147*VLOOKUP($C$8,Prijzen!$B$65:$T$68,B$31,FALSE),0)</f>
        <v>0</v>
      </c>
      <c r="C149" s="30">
        <f>IF(C$33="JA",C144*C134+C146*C134+C147*VLOOKUP($C$8,Prijzen!$B$65:$T$68,C$31,FALSE),0)</f>
        <v>454.63879453709865</v>
      </c>
      <c r="D149" s="30">
        <f>IF(D$33="JA",D144*D134+D146*D134+D147*VLOOKUP($C$8,Prijzen!$B$65:$T$68,D$31,FALSE),0)</f>
        <v>407.40623092818305</v>
      </c>
      <c r="E149" s="30">
        <f>IF(E$33="JA",E144*E134+E146*E134+E147*VLOOKUP($C$8,Prijzen!$B$65:$T$68,E$31,FALSE),0)</f>
        <v>383.82963134955548</v>
      </c>
      <c r="F149" s="30">
        <f>IF(F$33="JA",F144*F134+F146*F134+F147*VLOOKUP($C$8,Prijzen!$B$65:$T$68,F$31,FALSE),0)</f>
        <v>362.56875409973537</v>
      </c>
      <c r="G149" s="30">
        <f>IF(G$33="JA",G144*G134+G146*G134+G147*VLOOKUP($C$8,Prijzen!$B$65:$T$68,G$31,FALSE),0)</f>
        <v>364.06809725879805</v>
      </c>
      <c r="H149" s="30">
        <f>IF(H$33="JA",H144*H134+H146*H134+H147*VLOOKUP($C$8,Prijzen!$B$65:$T$68,H$31,FALSE),0)</f>
        <v>372.47807940397701</v>
      </c>
      <c r="I149" s="30">
        <f>IF(I$33="JA",I144*I134+I146*I134+I147*VLOOKUP($C$8,Prijzen!$B$65:$T$68,I$31,FALSE),0)</f>
        <v>251.89312050245076</v>
      </c>
      <c r="J149" s="30">
        <f>IF(J$33="JA",J144*J134+J146*J134+J147*VLOOKUP($C$8,Prijzen!$B$65:$T$68,J$31,FALSE),0)</f>
        <v>251.39325055696332</v>
      </c>
      <c r="K149" s="30">
        <f>IF(K$33="JA",K144*K134+K146*K134+K147*VLOOKUP($C$8,Prijzen!$B$65:$T$68,K$31,FALSE),0)</f>
        <v>250.91312679230296</v>
      </c>
      <c r="L149" s="30">
        <f>IF(L$33="JA",L144*L134+L146*L134+L147*VLOOKUP($C$8,Prijzen!$B$65:$T$68,L$31,FALSE),0)</f>
        <v>250.45281992279689</v>
      </c>
      <c r="M149" s="30">
        <f>IF(M$33="JA",M144*M134+M146*M134+M147*VLOOKUP($C$8,Prijzen!$B$65:$T$68,M$31,FALSE),0)</f>
        <v>250.01240285470928</v>
      </c>
      <c r="N149" s="30">
        <f>IF(N$33="JA",N144*N134+N146*N134+N147*VLOOKUP($C$8,Prijzen!$B$65:$T$68,N$31,FALSE),0)</f>
        <v>249.59195070545218</v>
      </c>
      <c r="O149" s="30">
        <f>IF(O$33="JA",O144*O134+O146*O134+O147*VLOOKUP($C$8,Prijzen!$B$65:$T$68,O$31,FALSE),0)</f>
        <v>249.19154082310538</v>
      </c>
      <c r="P149" s="30">
        <f>IF(P$33="JA",P144*P134+P146*P134+P147*VLOOKUP($C$8,Prijzen!$B$65:$T$68,P$31,FALSE),0)</f>
        <v>248.81125280625056</v>
      </c>
      <c r="Q149" s="30">
        <f>IF(Q$33="JA",Q144*Q134+Q146*Q134+Q147*VLOOKUP($C$8,Prijzen!$B$65:$T$68,Q$31,FALSE),0)</f>
        <v>248.45116852412187</v>
      </c>
      <c r="R149" s="30">
        <f>IF(R$33="JA",R144*R134+R146*R134+R147*VLOOKUP($C$8,Prijzen!$B$65:$T$68,R$31,FALSE),0)</f>
        <v>0</v>
      </c>
      <c r="S149" s="30">
        <f>IF(S$33="JA",S144*S134+S146*S134+S147*VLOOKUP($C$8,Prijzen!$B$65:$T$68,S$31,FALSE),0)</f>
        <v>0</v>
      </c>
      <c r="T149" s="30">
        <f>IF(T$33="JA",T144*T134+T146*T134+T147*VLOOKUP($C$8,Prijzen!$B$65:$T$68,T$31,FALSE),0)</f>
        <v>0</v>
      </c>
      <c r="U149" s="30">
        <f>IF(U$33="JA",U144*U134+U146*U134+U147*VLOOKUP($C$8,Prijzen!$B$65:$T$68,U$31,FALSE),0)</f>
        <v>0</v>
      </c>
      <c r="V149" s="30">
        <f>IF(V$33="JA",V144*V134+V146*V134+V147*VLOOKUP($C$8,Prijzen!$B$65:$T$68,V$31,FALSE),0)</f>
        <v>0</v>
      </c>
      <c r="W149" s="30">
        <f>IF(W$33="JA",W144*W134+W146*W134+W147*VLOOKUP($C$8,Prijzen!$B$65:$T$68,W$31,FALSE),0)</f>
        <v>0</v>
      </c>
      <c r="X149" s="30">
        <f>IF(X$33="JA",X144*X134+X146*X134+X147*VLOOKUP($C$8,Prijzen!$B$65:$T$68,X$31,FALSE),0)</f>
        <v>0</v>
      </c>
      <c r="Y149" s="30">
        <f>IF(Y$33="JA",Y144*Y134+Y146*Y134+Y147*VLOOKUP($C$8,Prijzen!$B$65:$T$68,Y$31,FALSE),0)</f>
        <v>0</v>
      </c>
      <c r="Z149" s="30">
        <f>IF(Z$33="JA",Z144*Z134+Z146*Z134+Z147*VLOOKUP($C$8,Prijzen!$B$65:$T$68,Z$31,FALSE),0)</f>
        <v>0</v>
      </c>
      <c r="AA149" s="30">
        <f>IF(AA$33="JA",AA144*AA134+AA146*AA134+AA147*VLOOKUP($C$8,Prijzen!$B$65:$T$68,AA$31,FALSE),0)</f>
        <v>0</v>
      </c>
      <c r="AB149" s="30">
        <f>IF(AB$33="JA",AB144*AB134+AB146*AB134+AB147*VLOOKUP($C$8,Prijzen!$B$65:$T$68,AB$31,FALSE),0)</f>
        <v>0</v>
      </c>
      <c r="AC149" s="30"/>
      <c r="AD149" s="30">
        <f t="shared" si="60"/>
        <v>4595.700221065501</v>
      </c>
    </row>
    <row r="150" spans="1:30" outlineLevel="1" x14ac:dyDescent="0.25">
      <c r="A150" t="s">
        <v>86</v>
      </c>
      <c r="B150" s="9">
        <f>IF(B$33="JA",-PMT($F$17,Kengetallen!$B$16,Investering!$D$83,0,1),0)</f>
        <v>0</v>
      </c>
      <c r="C150" s="9">
        <f>IF(C$33="JA",-PMT($F$17,Kengetallen!$B$16,Investering!$D$83,0,1),0)</f>
        <v>126.94082084442347</v>
      </c>
      <c r="D150" s="9">
        <f>IF(D$33="JA",-PMT($F$17,Kengetallen!$B$16,Investering!$D$83,0,1),0)</f>
        <v>126.94082084442347</v>
      </c>
      <c r="E150" s="9">
        <f>IF(E$33="JA",-PMT($F$17,Kengetallen!$B$16,Investering!$D$83,0,1),0)</f>
        <v>126.94082084442347</v>
      </c>
      <c r="F150" s="9">
        <f>IF(F$33="JA",-PMT($F$17,Kengetallen!$B$16,Investering!$D$83,0,1),0)</f>
        <v>126.94082084442347</v>
      </c>
      <c r="G150" s="9">
        <f>IF(G$33="JA",-PMT($F$17,Kengetallen!$B$16,Investering!$D$83,0,1),0)</f>
        <v>126.94082084442347</v>
      </c>
      <c r="H150" s="9">
        <f>IF(H$33="JA",-PMT($F$17,Kengetallen!$B$16,Investering!$D$83,0,1),0)</f>
        <v>126.94082084442347</v>
      </c>
      <c r="I150" s="9">
        <f>IF(I$33="JA",-PMT($F$17,Kengetallen!$B$16,Investering!$D$83,0,1),0)</f>
        <v>126.94082084442347</v>
      </c>
      <c r="J150" s="9">
        <f>IF(J$33="JA",-PMT($F$17,Kengetallen!$B$16,Investering!$D$83,0,1),0)</f>
        <v>126.94082084442347</v>
      </c>
      <c r="K150" s="9">
        <f>IF(K$33="JA",-PMT($F$17,Kengetallen!$B$16,Investering!$D$83,0,1),0)</f>
        <v>126.94082084442347</v>
      </c>
      <c r="L150" s="9">
        <f>IF(L$33="JA",-PMT($F$17,Kengetallen!$B$16,Investering!$D$83,0,1),0)</f>
        <v>126.94082084442347</v>
      </c>
      <c r="M150" s="9">
        <f>IF(M$33="JA",-PMT($F$17,Kengetallen!$B$16,Investering!$D$83,0,1),0)</f>
        <v>126.94082084442347</v>
      </c>
      <c r="N150" s="9">
        <f>IF(N$33="JA",-PMT($F$17,Kengetallen!$B$16,Investering!$D$83,0,1),0)</f>
        <v>126.94082084442347</v>
      </c>
      <c r="O150" s="9">
        <f>IF(O$33="JA",-PMT($F$17,Kengetallen!$B$16,Investering!$D$83,0,1),0)</f>
        <v>126.94082084442347</v>
      </c>
      <c r="P150" s="9">
        <f>IF(P$33="JA",-PMT($F$17,Kengetallen!$B$16,Investering!$D$83,0,1),0)</f>
        <v>126.94082084442347</v>
      </c>
      <c r="Q150" s="9">
        <f>IF(Q$33="JA",-PMT($F$17,Kengetallen!$B$16,Investering!$D$83,0,1),0)</f>
        <v>126.94082084442347</v>
      </c>
      <c r="R150" s="9">
        <f>IF(R$33="JA",-PMT($F$17,Kengetallen!$B$16,Investering!$D$83,0,1),0)</f>
        <v>0</v>
      </c>
      <c r="S150" s="9">
        <f>IF(S$33="JA",-PMT($F$17,Kengetallen!$B$16,Investering!$D$83,0,1),0)</f>
        <v>0</v>
      </c>
      <c r="T150" s="9">
        <f>IF(T$33="JA",-PMT($F$17,Kengetallen!$B$16,Investering!$D$83,0,1),0)</f>
        <v>0</v>
      </c>
      <c r="U150" s="9">
        <f>IF(U$33="JA",-PMT($F$17,Kengetallen!$B$16,Investering!$D$83,0,1),0)</f>
        <v>0</v>
      </c>
      <c r="V150" s="9">
        <f>IF(V$33="JA",-PMT($F$17,Kengetallen!$B$16,Investering!$D$83,0,1),0)</f>
        <v>0</v>
      </c>
      <c r="W150" s="9">
        <f>IF(W$33="JA",-PMT($F$17,Kengetallen!$B$16,Investering!$D$83,0,1),0)</f>
        <v>0</v>
      </c>
      <c r="X150" s="9">
        <f>IF(X$33="JA",-PMT($F$17,Kengetallen!$B$16,Investering!$D$83,0,1),0)</f>
        <v>0</v>
      </c>
      <c r="Y150" s="9">
        <f>IF(Y$33="JA",-PMT($F$17,Kengetallen!$B$16,Investering!$D$83,0,1),0)</f>
        <v>0</v>
      </c>
      <c r="Z150" s="9">
        <f>IF(Z$33="JA",-PMT($F$17,Kengetallen!$B$16,Investering!$D$83,0,1),0)</f>
        <v>0</v>
      </c>
      <c r="AA150" s="9">
        <f>IF(AA$33="JA",-PMT($F$17,Kengetallen!$B$16,Investering!$D$83,0,1),0)</f>
        <v>0</v>
      </c>
      <c r="AB150" s="9">
        <f>IF(AB$33="JA",-PMT($F$17,Kengetallen!$B$16,Investering!$D$83,0,1),0)</f>
        <v>0</v>
      </c>
      <c r="AC150" s="9"/>
      <c r="AD150" s="9">
        <f t="shared" si="60"/>
        <v>1904.1123126663526</v>
      </c>
    </row>
    <row r="151" spans="1:30" outlineLevel="1" x14ac:dyDescent="0.25">
      <c r="A151" t="s">
        <v>33</v>
      </c>
      <c r="B151" s="9">
        <f>IF(B$33="JA",Kengetallen!$B$20*(1+Kengetallen!$B$2)^'Business case'!B$32,0)</f>
        <v>0</v>
      </c>
      <c r="C151" s="9">
        <f>IF(C$33="JA",Kengetallen!$B$20*(1+Kengetallen!$B$2)^'Business case'!C$32,0)</f>
        <v>25.5</v>
      </c>
      <c r="D151" s="9">
        <f>IF(D$33="JA",Kengetallen!$B$20*(1+Kengetallen!$B$2)^'Business case'!D$32,0)</f>
        <v>26.009999999999998</v>
      </c>
      <c r="E151" s="9">
        <f>IF(E$33="JA",Kengetallen!$B$20*(1+Kengetallen!$B$2)^'Business case'!E$32,0)</f>
        <v>26.530199999999997</v>
      </c>
      <c r="F151" s="9">
        <f>IF(F$33="JA",Kengetallen!$B$20*(1+Kengetallen!$B$2)^'Business case'!F$32,0)</f>
        <v>27.060804000000001</v>
      </c>
      <c r="G151" s="9">
        <f>IF(G$33="JA",Kengetallen!$B$20*(1+Kengetallen!$B$2)^'Business case'!G$32,0)</f>
        <v>27.602020079999999</v>
      </c>
      <c r="H151" s="9">
        <f>IF(H$33="JA",Kengetallen!$B$20*(1+Kengetallen!$B$2)^'Business case'!H$32,0)</f>
        <v>28.154060481600002</v>
      </c>
      <c r="I151" s="9">
        <f>IF(I$33="JA",Kengetallen!$B$20*(1+Kengetallen!$B$2)^'Business case'!I$32,0)</f>
        <v>28.717141691231994</v>
      </c>
      <c r="J151" s="9">
        <f>IF(J$33="JA",Kengetallen!$B$20*(1+Kengetallen!$B$2)^'Business case'!J$32,0)</f>
        <v>29.291484525056639</v>
      </c>
      <c r="K151" s="9">
        <f>IF(K$33="JA",Kengetallen!$B$20*(1+Kengetallen!$B$2)^'Business case'!K$32,0)</f>
        <v>29.877314215557771</v>
      </c>
      <c r="L151" s="9">
        <f>IF(L$33="JA",Kengetallen!$B$20*(1+Kengetallen!$B$2)^'Business case'!L$32,0)</f>
        <v>30.474860499868928</v>
      </c>
      <c r="M151" s="9">
        <f>IF(M$33="JA",Kengetallen!$B$20*(1+Kengetallen!$B$2)^'Business case'!M$32,0)</f>
        <v>31.0843577098663</v>
      </c>
      <c r="N151" s="9">
        <f>IF(N$33="JA",Kengetallen!$B$20*(1+Kengetallen!$B$2)^'Business case'!N$32,0)</f>
        <v>31.706044864063632</v>
      </c>
      <c r="O151" s="9">
        <f>IF(O$33="JA",Kengetallen!$B$20*(1+Kengetallen!$B$2)^'Business case'!O$32,0)</f>
        <v>32.340165761344899</v>
      </c>
      <c r="P151" s="9">
        <f>IF(P$33="JA",Kengetallen!$B$20*(1+Kengetallen!$B$2)^'Business case'!P$32,0)</f>
        <v>32.986969076571803</v>
      </c>
      <c r="Q151" s="9">
        <f>IF(Q$33="JA",Kengetallen!$B$20*(1+Kengetallen!$B$2)^'Business case'!Q$32,0)</f>
        <v>33.646708458103234</v>
      </c>
      <c r="R151" s="9">
        <f>IF(R$33="JA",Kengetallen!$B$20*(1+Kengetallen!$B$2)^'Business case'!R$32,0)</f>
        <v>0</v>
      </c>
      <c r="S151" s="9">
        <f>IF(S$33="JA",Kengetallen!$B$20*(1+Kengetallen!$B$2)^'Business case'!S$32,0)</f>
        <v>0</v>
      </c>
      <c r="T151" s="9">
        <f>IF(T$33="JA",Kengetallen!$B$20*(1+Kengetallen!$B$2)^'Business case'!T$32,0)</f>
        <v>0</v>
      </c>
      <c r="U151" s="9">
        <f>IF(U$33="JA",Kengetallen!$B$20*(1+Kengetallen!$B$2)^'Business case'!U$32,0)</f>
        <v>0</v>
      </c>
      <c r="V151" s="9">
        <f>IF(V$33="JA",Kengetallen!$B$20*(1+Kengetallen!$B$2)^'Business case'!V$32,0)</f>
        <v>0</v>
      </c>
      <c r="W151" s="9">
        <f>IF(W$33="JA",Kengetallen!$B$20*(1+Kengetallen!$B$2)^'Business case'!W$32,0)</f>
        <v>0</v>
      </c>
      <c r="X151" s="9">
        <f>IF(X$33="JA",Kengetallen!$B$20*(1+Kengetallen!$B$2)^'Business case'!X$32,0)</f>
        <v>0</v>
      </c>
      <c r="Y151" s="9">
        <f>IF(Y$33="JA",Kengetallen!$B$20*(1+Kengetallen!$B$2)^'Business case'!Y$32,0)</f>
        <v>0</v>
      </c>
      <c r="Z151" s="9">
        <f>IF(Z$33="JA",Kengetallen!$B$20*(1+Kengetallen!$B$2)^'Business case'!Z$32,0)</f>
        <v>0</v>
      </c>
      <c r="AA151" s="9">
        <f>IF(AA$33="JA",Kengetallen!$B$20*(1+Kengetallen!$B$2)^'Business case'!AA$32,0)</f>
        <v>0</v>
      </c>
      <c r="AB151" s="9">
        <f>IF(AB$33="JA",Kengetallen!$B$20*(1+Kengetallen!$B$2)^'Business case'!AB$32,0)</f>
        <v>0</v>
      </c>
      <c r="AC151" s="9"/>
      <c r="AD151" s="9">
        <f t="shared" si="60"/>
        <v>440.98213136326524</v>
      </c>
    </row>
    <row r="152" spans="1:30" outlineLevel="1" x14ac:dyDescent="0.25">
      <c r="A152" s="3" t="s">
        <v>36</v>
      </c>
      <c r="B152" s="17">
        <f>SUM(B136:B142)-B149+B150+B151</f>
        <v>0</v>
      </c>
      <c r="C152" s="17">
        <f>SUM(C136:C142)-C149+C150+C151</f>
        <v>1757.5070903403021</v>
      </c>
      <c r="D152" s="17">
        <f t="shared" ref="D152:AB152" si="70">SUM(D136:D142)-D149+D150+D151</f>
        <v>1763.6363242798441</v>
      </c>
      <c r="E152" s="17">
        <f t="shared" si="70"/>
        <v>1769.6881831031851</v>
      </c>
      <c r="F152" s="17">
        <f t="shared" si="70"/>
        <v>1775.5599142765066</v>
      </c>
      <c r="G152" s="17">
        <f t="shared" si="70"/>
        <v>1782.0307310592716</v>
      </c>
      <c r="H152" s="17">
        <f t="shared" si="70"/>
        <v>1788.9152359284185</v>
      </c>
      <c r="I152" s="17">
        <f t="shared" si="70"/>
        <v>1916.7172851328532</v>
      </c>
      <c r="J152" s="17">
        <f t="shared" si="70"/>
        <v>1924.578587187307</v>
      </c>
      <c r="K152" s="17">
        <f t="shared" si="70"/>
        <v>1932.5673717031132</v>
      </c>
      <c r="L152" s="17">
        <f t="shared" si="70"/>
        <v>1940.6865125387881</v>
      </c>
      <c r="M152" s="17">
        <f t="shared" si="70"/>
        <v>1948.9389402523673</v>
      </c>
      <c r="N152" s="17">
        <f t="shared" si="70"/>
        <v>1957.3276432600262</v>
      </c>
      <c r="O152" s="17">
        <f t="shared" si="70"/>
        <v>1965.855669017943</v>
      </c>
      <c r="P152" s="17">
        <f t="shared" si="70"/>
        <v>1974.526125227879</v>
      </c>
      <c r="Q152" s="17">
        <f t="shared" si="70"/>
        <v>1983.3421810669508</v>
      </c>
      <c r="R152" s="17">
        <f t="shared" si="70"/>
        <v>0</v>
      </c>
      <c r="S152" s="17">
        <f t="shared" si="70"/>
        <v>0</v>
      </c>
      <c r="T152" s="17">
        <f t="shared" si="70"/>
        <v>0</v>
      </c>
      <c r="U152" s="17">
        <f t="shared" si="70"/>
        <v>0</v>
      </c>
      <c r="V152" s="17">
        <f t="shared" si="70"/>
        <v>0</v>
      </c>
      <c r="W152" s="17">
        <f t="shared" si="70"/>
        <v>0</v>
      </c>
      <c r="X152" s="17">
        <f t="shared" si="70"/>
        <v>0</v>
      </c>
      <c r="Y152" s="17">
        <f t="shared" si="70"/>
        <v>0</v>
      </c>
      <c r="Z152" s="17">
        <f t="shared" si="70"/>
        <v>0</v>
      </c>
      <c r="AA152" s="17">
        <f t="shared" si="70"/>
        <v>0</v>
      </c>
      <c r="AB152" s="17">
        <f t="shared" si="70"/>
        <v>0</v>
      </c>
      <c r="AC152" s="17"/>
      <c r="AD152" s="17">
        <f t="shared" si="60"/>
        <v>28181.877794374752</v>
      </c>
    </row>
    <row r="153" spans="1:30" outlineLevel="1" x14ac:dyDescent="0.25">
      <c r="A153" t="s">
        <v>40</v>
      </c>
      <c r="B153" s="9">
        <f t="shared" ref="B153:AB153" si="71">B137+B142-B149+B151</f>
        <v>0</v>
      </c>
      <c r="C153" s="9">
        <f t="shared" si="71"/>
        <v>181.70490590308123</v>
      </c>
      <c r="D153" s="9">
        <f t="shared" si="71"/>
        <v>187.83413984262347</v>
      </c>
      <c r="E153" s="9">
        <f t="shared" si="71"/>
        <v>193.88599866596459</v>
      </c>
      <c r="F153" s="9">
        <f t="shared" si="71"/>
        <v>199.75772983928593</v>
      </c>
      <c r="G153" s="9">
        <f t="shared" si="71"/>
        <v>206.22854662205111</v>
      </c>
      <c r="H153" s="9">
        <f t="shared" si="71"/>
        <v>213.11305149119804</v>
      </c>
      <c r="I153" s="9">
        <f t="shared" si="71"/>
        <v>340.91510069563253</v>
      </c>
      <c r="J153" s="9">
        <f t="shared" si="71"/>
        <v>348.77640275008639</v>
      </c>
      <c r="K153" s="9">
        <f t="shared" si="71"/>
        <v>356.76518726589251</v>
      </c>
      <c r="L153" s="9">
        <f t="shared" si="71"/>
        <v>364.88432810156723</v>
      </c>
      <c r="M153" s="9">
        <f t="shared" si="71"/>
        <v>373.13675581514684</v>
      </c>
      <c r="N153" s="9">
        <f t="shared" si="71"/>
        <v>381.52545882280594</v>
      </c>
      <c r="O153" s="9">
        <f t="shared" si="71"/>
        <v>390.05348458072251</v>
      </c>
      <c r="P153" s="9">
        <f t="shared" si="71"/>
        <v>398.72394079065879</v>
      </c>
      <c r="Q153" s="9">
        <f t="shared" si="71"/>
        <v>407.53999662973035</v>
      </c>
      <c r="R153" s="9">
        <f t="shared" si="71"/>
        <v>0</v>
      </c>
      <c r="S153" s="9">
        <f t="shared" si="71"/>
        <v>0</v>
      </c>
      <c r="T153" s="9">
        <f t="shared" si="71"/>
        <v>0</v>
      </c>
      <c r="U153" s="9">
        <f t="shared" si="71"/>
        <v>0</v>
      </c>
      <c r="V153" s="9">
        <f t="shared" si="71"/>
        <v>0</v>
      </c>
      <c r="W153" s="9">
        <f t="shared" si="71"/>
        <v>0</v>
      </c>
      <c r="X153" s="9">
        <f t="shared" si="71"/>
        <v>0</v>
      </c>
      <c r="Y153" s="9">
        <f t="shared" si="71"/>
        <v>0</v>
      </c>
      <c r="Z153" s="9">
        <f t="shared" si="71"/>
        <v>0</v>
      </c>
      <c r="AA153" s="9">
        <f t="shared" si="71"/>
        <v>0</v>
      </c>
      <c r="AB153" s="9">
        <f t="shared" si="71"/>
        <v>0</v>
      </c>
      <c r="AC153" s="9"/>
      <c r="AD153" s="9"/>
    </row>
    <row r="154" spans="1:30" outlineLevel="1" x14ac:dyDescent="0.25">
      <c r="A154" s="3" t="s">
        <v>87</v>
      </c>
      <c r="B154" s="17">
        <f>IFERROR(B$42-B152,"")</f>
        <v>0</v>
      </c>
      <c r="C154" s="17">
        <f>IFERROR(C$42-C152,"")</f>
        <v>-120.15651855205692</v>
      </c>
      <c r="D154" s="17">
        <f t="shared" ref="D154:AB154" si="72">IFERROR(D$42-D152,"")</f>
        <v>-145.32393858489627</v>
      </c>
      <c r="E154" s="17">
        <f t="shared" si="72"/>
        <v>-159.39629988745583</v>
      </c>
      <c r="F154" s="17">
        <f t="shared" si="72"/>
        <v>-153.58912488418559</v>
      </c>
      <c r="G154" s="17">
        <f t="shared" si="72"/>
        <v>-116.12945745183151</v>
      </c>
      <c r="H154" s="17">
        <f t="shared" si="72"/>
        <v>-86.723376305812508</v>
      </c>
      <c r="I154" s="17">
        <f t="shared" si="72"/>
        <v>-191.18410720825614</v>
      </c>
      <c r="J154" s="17">
        <f t="shared" si="72"/>
        <v>-175.23726459467935</v>
      </c>
      <c r="K154" s="17">
        <f t="shared" si="72"/>
        <v>-158.94174154909433</v>
      </c>
      <c r="L154" s="17">
        <f t="shared" si="72"/>
        <v>-142.29088867214978</v>
      </c>
      <c r="M154" s="17">
        <f t="shared" si="72"/>
        <v>-125.27792279885762</v>
      </c>
      <c r="N154" s="17">
        <f t="shared" si="72"/>
        <v>-107.89592434790757</v>
      </c>
      <c r="O154" s="17">
        <f t="shared" si="72"/>
        <v>-90.137834618043144</v>
      </c>
      <c r="P154" s="17">
        <f t="shared" si="72"/>
        <v>-71.996453030442581</v>
      </c>
      <c r="Q154" s="17">
        <f t="shared" si="72"/>
        <v>-53.464434316026882</v>
      </c>
      <c r="R154" s="17">
        <f t="shared" si="72"/>
        <v>0</v>
      </c>
      <c r="S154" s="17">
        <f t="shared" si="72"/>
        <v>0</v>
      </c>
      <c r="T154" s="17">
        <f t="shared" si="72"/>
        <v>0</v>
      </c>
      <c r="U154" s="17">
        <f t="shared" si="72"/>
        <v>0</v>
      </c>
      <c r="V154" s="17">
        <f t="shared" si="72"/>
        <v>0</v>
      </c>
      <c r="W154" s="17">
        <f t="shared" si="72"/>
        <v>0</v>
      </c>
      <c r="X154" s="17">
        <f t="shared" si="72"/>
        <v>0</v>
      </c>
      <c r="Y154" s="17">
        <f t="shared" si="72"/>
        <v>0</v>
      </c>
      <c r="Z154" s="17">
        <f t="shared" si="72"/>
        <v>0</v>
      </c>
      <c r="AA154" s="17">
        <f t="shared" si="72"/>
        <v>0</v>
      </c>
      <c r="AB154" s="17">
        <f t="shared" si="72"/>
        <v>0</v>
      </c>
      <c r="AC154" s="17"/>
      <c r="AD154" s="17">
        <f t="shared" si="60"/>
        <v>-1897.745286801696</v>
      </c>
    </row>
    <row r="156" spans="1:30" x14ac:dyDescent="0.25">
      <c r="A156" s="27" t="s">
        <v>303</v>
      </c>
    </row>
    <row r="157" spans="1:30" x14ac:dyDescent="0.25">
      <c r="A157" t="s">
        <v>72</v>
      </c>
      <c r="B157">
        <f>IF(B$33="JA",$C$1*(1-$C$4)*(1-$C$3),0)</f>
        <v>0</v>
      </c>
      <c r="C157">
        <f t="shared" ref="C157:AB157" si="73">IF(C$33="JA",$C$1*(1-$C$4)*(1-$C$3),0)</f>
        <v>0</v>
      </c>
      <c r="D157">
        <f t="shared" si="73"/>
        <v>0</v>
      </c>
      <c r="E157">
        <f t="shared" si="73"/>
        <v>0</v>
      </c>
      <c r="F157">
        <f t="shared" si="73"/>
        <v>0</v>
      </c>
      <c r="G157">
        <f t="shared" si="73"/>
        <v>0</v>
      </c>
      <c r="H157">
        <f t="shared" si="73"/>
        <v>0</v>
      </c>
      <c r="I157">
        <f t="shared" si="73"/>
        <v>0</v>
      </c>
      <c r="J157">
        <f t="shared" si="73"/>
        <v>0</v>
      </c>
      <c r="K157">
        <f t="shared" si="73"/>
        <v>0</v>
      </c>
      <c r="L157">
        <f t="shared" si="73"/>
        <v>0</v>
      </c>
      <c r="M157">
        <f t="shared" si="73"/>
        <v>0</v>
      </c>
      <c r="N157">
        <f t="shared" si="73"/>
        <v>0</v>
      </c>
      <c r="O157">
        <f t="shared" si="73"/>
        <v>0</v>
      </c>
      <c r="P157">
        <f t="shared" si="73"/>
        <v>0</v>
      </c>
      <c r="Q157">
        <f t="shared" si="73"/>
        <v>0</v>
      </c>
      <c r="R157">
        <f t="shared" si="73"/>
        <v>0</v>
      </c>
      <c r="S157">
        <f t="shared" si="73"/>
        <v>0</v>
      </c>
      <c r="T157">
        <f t="shared" si="73"/>
        <v>0</v>
      </c>
      <c r="U157">
        <f t="shared" si="73"/>
        <v>0</v>
      </c>
      <c r="V157">
        <f t="shared" si="73"/>
        <v>0</v>
      </c>
      <c r="W157">
        <f t="shared" si="73"/>
        <v>0</v>
      </c>
      <c r="X157">
        <f t="shared" si="73"/>
        <v>0</v>
      </c>
      <c r="Y157">
        <f t="shared" si="73"/>
        <v>0</v>
      </c>
      <c r="Z157">
        <f t="shared" si="73"/>
        <v>0</v>
      </c>
      <c r="AA157">
        <f t="shared" si="73"/>
        <v>0</v>
      </c>
      <c r="AB157">
        <f t="shared" si="73"/>
        <v>0</v>
      </c>
      <c r="AC157" s="25"/>
      <c r="AD157" s="25">
        <f t="shared" ref="AD157:AD180" si="74">SUM(B157:AB157)</f>
        <v>0</v>
      </c>
    </row>
    <row r="158" spans="1:30" x14ac:dyDescent="0.25">
      <c r="A158" s="13" t="s">
        <v>67</v>
      </c>
      <c r="B158">
        <f>MIN(B157,Prijzen!C164)</f>
        <v>0</v>
      </c>
      <c r="C158">
        <f>MIN(C157,Prijzen!D164)</f>
        <v>0</v>
      </c>
      <c r="D158">
        <f>MIN(D157,Prijzen!E164)</f>
        <v>0</v>
      </c>
      <c r="E158">
        <f>MIN(E157,Prijzen!F164)</f>
        <v>0</v>
      </c>
      <c r="F158">
        <f>MIN(F157,Prijzen!G164)</f>
        <v>0</v>
      </c>
      <c r="G158">
        <f>MIN(G157,Prijzen!H164)</f>
        <v>0</v>
      </c>
      <c r="H158">
        <f>MIN(H157,Prijzen!I164)</f>
        <v>0</v>
      </c>
      <c r="I158">
        <f>MIN(I157,Prijzen!J164)</f>
        <v>0</v>
      </c>
      <c r="J158">
        <f>MIN(J157,Prijzen!K164)</f>
        <v>0</v>
      </c>
      <c r="K158">
        <f>MIN(K157,Prijzen!L164)</f>
        <v>0</v>
      </c>
      <c r="L158">
        <f>MIN(L157,Prijzen!M164)</f>
        <v>0</v>
      </c>
      <c r="M158">
        <f>MIN(M157,Prijzen!N164)</f>
        <v>0</v>
      </c>
      <c r="N158">
        <f>MIN(N157,Prijzen!O164)</f>
        <v>0</v>
      </c>
      <c r="O158">
        <f>MIN(O157,Prijzen!P164)</f>
        <v>0</v>
      </c>
      <c r="P158">
        <f>MIN(P157,Prijzen!Q164)</f>
        <v>0</v>
      </c>
      <c r="Q158">
        <f>MIN(Q157,Prijzen!R164)</f>
        <v>0</v>
      </c>
      <c r="R158">
        <f>MIN(R157,Prijzen!S164)</f>
        <v>0</v>
      </c>
      <c r="S158">
        <f>MIN(S157,Prijzen!T164)</f>
        <v>0</v>
      </c>
      <c r="T158">
        <f>MIN(T157,Prijzen!U164)</f>
        <v>0</v>
      </c>
      <c r="U158">
        <f>MIN(U157,Prijzen!V164)</f>
        <v>0</v>
      </c>
      <c r="V158">
        <f>MIN(V157,Prijzen!W164)</f>
        <v>0</v>
      </c>
      <c r="W158">
        <f>MIN(W157,Prijzen!X164)</f>
        <v>0</v>
      </c>
      <c r="X158">
        <f>MIN(X157,Prijzen!Y164)</f>
        <v>0</v>
      </c>
      <c r="Y158">
        <f>MIN(Y157,Prijzen!Z164)</f>
        <v>0</v>
      </c>
      <c r="Z158">
        <f>MIN(Z157,Prijzen!AA164)</f>
        <v>0</v>
      </c>
      <c r="AA158">
        <f>MIN(AA157,Prijzen!AB164)</f>
        <v>0</v>
      </c>
      <c r="AB158">
        <f>MIN(AB157,Prijzen!AC164)</f>
        <v>0</v>
      </c>
      <c r="AD158">
        <f t="shared" si="74"/>
        <v>0</v>
      </c>
    </row>
    <row r="159" spans="1:30" x14ac:dyDescent="0.25">
      <c r="A159" t="s">
        <v>73</v>
      </c>
      <c r="B159" s="25">
        <f>IF(B$33="JA",$C$1*(1-$C$3)*$C$4*9.5/$G$14,0)</f>
        <v>0</v>
      </c>
      <c r="C159" s="25">
        <f>IF(C$33="JA",$C$1*(1-$C$3)*$C$4*9.5/$G$14,0)</f>
        <v>1290.7333333333333</v>
      </c>
      <c r="D159" s="25">
        <f t="shared" ref="D159:AB159" si="75">IF(D$33="JA",$C$1*(1-$C$3)*$C$4*9.5/$G$14,0)</f>
        <v>1290.7333333333333</v>
      </c>
      <c r="E159" s="25">
        <f t="shared" si="75"/>
        <v>1290.7333333333333</v>
      </c>
      <c r="F159" s="25">
        <f t="shared" si="75"/>
        <v>1290.7333333333333</v>
      </c>
      <c r="G159" s="25">
        <f t="shared" si="75"/>
        <v>1290.7333333333333</v>
      </c>
      <c r="H159" s="25">
        <f t="shared" si="75"/>
        <v>1290.7333333333333</v>
      </c>
      <c r="I159" s="25">
        <f t="shared" si="75"/>
        <v>1290.7333333333333</v>
      </c>
      <c r="J159" s="25">
        <f t="shared" si="75"/>
        <v>1290.7333333333333</v>
      </c>
      <c r="K159" s="25">
        <f t="shared" si="75"/>
        <v>1290.7333333333333</v>
      </c>
      <c r="L159" s="25">
        <f t="shared" si="75"/>
        <v>1290.7333333333333</v>
      </c>
      <c r="M159" s="25">
        <f t="shared" si="75"/>
        <v>1290.7333333333333</v>
      </c>
      <c r="N159" s="25">
        <f t="shared" si="75"/>
        <v>1290.7333333333333</v>
      </c>
      <c r="O159" s="25">
        <f t="shared" si="75"/>
        <v>1290.7333333333333</v>
      </c>
      <c r="P159" s="25">
        <f t="shared" si="75"/>
        <v>1290.7333333333333</v>
      </c>
      <c r="Q159" s="25">
        <f t="shared" si="75"/>
        <v>1290.7333333333333</v>
      </c>
      <c r="R159" s="25">
        <f t="shared" si="75"/>
        <v>0</v>
      </c>
      <c r="S159" s="25">
        <f t="shared" si="75"/>
        <v>0</v>
      </c>
      <c r="T159" s="25">
        <f t="shared" si="75"/>
        <v>0</v>
      </c>
      <c r="U159" s="25">
        <f t="shared" si="75"/>
        <v>0</v>
      </c>
      <c r="V159" s="25">
        <f t="shared" si="75"/>
        <v>0</v>
      </c>
      <c r="W159" s="25">
        <f t="shared" si="75"/>
        <v>0</v>
      </c>
      <c r="X159" s="25">
        <f t="shared" si="75"/>
        <v>0</v>
      </c>
      <c r="Y159" s="25">
        <f t="shared" si="75"/>
        <v>0</v>
      </c>
      <c r="Z159" s="25">
        <f t="shared" si="75"/>
        <v>0</v>
      </c>
      <c r="AA159" s="25">
        <f t="shared" si="75"/>
        <v>0</v>
      </c>
      <c r="AB159" s="25">
        <f t="shared" si="75"/>
        <v>0</v>
      </c>
      <c r="AC159" s="25"/>
      <c r="AD159" s="25">
        <f t="shared" si="74"/>
        <v>19361</v>
      </c>
    </row>
    <row r="160" spans="1:30" x14ac:dyDescent="0.25">
      <c r="A160" s="13" t="s">
        <v>67</v>
      </c>
      <c r="AC160" s="25"/>
      <c r="AD160" s="25">
        <f t="shared" si="74"/>
        <v>0</v>
      </c>
    </row>
    <row r="161" spans="1:30" x14ac:dyDescent="0.25">
      <c r="A161" t="s">
        <v>74</v>
      </c>
      <c r="B161" s="24">
        <f>VLOOKUP($C$8,Prijzen!$B$32:$T$35,B$31,FALSE)</f>
        <v>1.248756086373378</v>
      </c>
      <c r="C161" s="24">
        <f>VLOOKUP($C$8,Prijzen!$B$32:$T$35,C$31,FALSE)</f>
        <v>1.2514967446419549</v>
      </c>
      <c r="D161" s="24">
        <f>VLOOKUP($C$8,Prijzen!$B$32:$T$35,D$31,FALSE)</f>
        <v>1.2287304397192578</v>
      </c>
      <c r="E161" s="24">
        <f>VLOOKUP($C$8,Prijzen!$B$32:$T$35,E$31,FALSE)</f>
        <v>1.2128648759239511</v>
      </c>
      <c r="F161" s="24">
        <f>VLOOKUP($C$8,Prijzen!$B$32:$T$35,F$31,FALSE)</f>
        <v>1.222362781734142</v>
      </c>
      <c r="G161" s="24">
        <f>VLOOKUP($C$8,Prijzen!$B$32:$T$35,G$31,FALSE)</f>
        <v>1.2671352026773273</v>
      </c>
      <c r="H161" s="24">
        <f>VLOOKUP($C$8,Prijzen!$B$32:$T$35,H$31,FALSE)</f>
        <v>1.2991424041980122</v>
      </c>
      <c r="I161" s="24">
        <f>VLOOKUP($C$8,Prijzen!$B$32:$T$35,I$31,FALSE)</f>
        <v>1.3162505241946256</v>
      </c>
      <c r="J161" s="24">
        <f>VLOOKUP($C$8,Prijzen!$B$32:$T$35,J$31,FALSE)</f>
        <v>1.3337008065911713</v>
      </c>
      <c r="K161" s="24">
        <f>VLOOKUP($C$8,Prijzen!$B$32:$T$35,K$31,FALSE)</f>
        <v>1.3515000946356479</v>
      </c>
      <c r="L161" s="24">
        <f>VLOOKUP($C$8,Prijzen!$B$32:$T$35,L$31,FALSE)</f>
        <v>1.369655368441014</v>
      </c>
      <c r="M161" s="24">
        <f>VLOOKUP($C$8,Prijzen!$B$32:$T$35,M$31,FALSE)</f>
        <v>1.3881737477224874</v>
      </c>
      <c r="N161" s="24">
        <f>VLOOKUP($C$8,Prijzen!$B$32:$T$35,N$31,FALSE)</f>
        <v>1.4070624945895902</v>
      </c>
      <c r="O161" s="24">
        <f>VLOOKUP($C$8,Prijzen!$B$32:$T$35,O$31,FALSE)</f>
        <v>1.4263290163940352</v>
      </c>
      <c r="P161" s="24">
        <f>VLOOKUP($C$8,Prijzen!$B$32:$T$35,P$31,FALSE)</f>
        <v>1.445980868634569</v>
      </c>
      <c r="Q161" s="24">
        <f>VLOOKUP($C$8,Prijzen!$B$32:$T$35,Q$31,FALSE)</f>
        <v>1.4660257579199134</v>
      </c>
      <c r="R161" s="24">
        <f>VLOOKUP($C$8,Prijzen!$B$32:$T$35,R$31,FALSE)</f>
        <v>1.4864715449909649</v>
      </c>
      <c r="S161" s="24">
        <f>VLOOKUP($C$8,Prijzen!$B$32:$T$35,S$31,FALSE)</f>
        <v>1.2991424041980122</v>
      </c>
      <c r="T161" s="24">
        <f>VLOOKUP($C$8,Prijzen!$B$32:$T$35,T$31,FALSE)</f>
        <v>1.2991424041980122</v>
      </c>
      <c r="U161" s="24">
        <f>VLOOKUP($C$8,Prijzen!$B$32:$T$35,U$31,FALSE)</f>
        <v>1.2991424041980122</v>
      </c>
      <c r="V161" s="24">
        <f>VLOOKUP($C$8,Prijzen!$B$32:$T$35,V$31,FALSE)</f>
        <v>1.2991424041980122</v>
      </c>
      <c r="W161" s="24">
        <f>VLOOKUP($C$8,Prijzen!$B$32:$T$35,W$31,FALSE)</f>
        <v>1.2991424041980122</v>
      </c>
      <c r="X161" s="24">
        <f>VLOOKUP($C$8,Prijzen!$B$32:$T$35,X$31,FALSE)</f>
        <v>1.2991424041980122</v>
      </c>
      <c r="Y161" s="24">
        <f>VLOOKUP($C$8,Prijzen!$B$32:$T$35,Y$31,FALSE)</f>
        <v>1.2991424041980122</v>
      </c>
      <c r="Z161" s="24">
        <f>VLOOKUP($C$8,Prijzen!$B$32:$T$35,Z$31,FALSE)</f>
        <v>1.2991424041980122</v>
      </c>
      <c r="AA161" s="24">
        <f>VLOOKUP($C$8,Prijzen!$B$32:$T$35,AA$31,FALSE)</f>
        <v>1.2991424041980122</v>
      </c>
      <c r="AB161" s="24">
        <f>VLOOKUP($C$8,Prijzen!$B$32:$T$35,AB$31,FALSE)</f>
        <v>1.2991424041980122</v>
      </c>
      <c r="AC161" s="24"/>
      <c r="AD161" s="24">
        <f t="shared" si="74"/>
        <v>35.713062801362163</v>
      </c>
    </row>
    <row r="162" spans="1:30" x14ac:dyDescent="0.25">
      <c r="A162" t="s">
        <v>75</v>
      </c>
      <c r="B162" s="24">
        <f>VLOOKUP($C$8,Prijzen!$B$38:$T$41,B$31,FALSE)</f>
        <v>0.30772435747266325</v>
      </c>
      <c r="C162" s="24">
        <f>VLOOKUP($C$8,Prijzen!$B$38:$T$41,C$31,FALSE)</f>
        <v>0.275890183279209</v>
      </c>
      <c r="D162" s="24">
        <f>VLOOKUP($C$8,Prijzen!$B$38:$T$41,D$31,FALSE)</f>
        <v>0.24897066227602277</v>
      </c>
      <c r="E162" s="24">
        <f>VLOOKUP($C$8,Prijzen!$B$38:$T$41,E$31,FALSE)</f>
        <v>0.23621624314417644</v>
      </c>
      <c r="F162" s="24">
        <f>VLOOKUP($C$8,Prijzen!$B$38:$T$41,F$31,FALSE)</f>
        <v>0.22470481824054794</v>
      </c>
      <c r="G162" s="24">
        <f>VLOOKUP($C$8,Prijzen!$B$38:$T$41,G$31,FALSE)</f>
        <v>0.22722462021985299</v>
      </c>
      <c r="H162" s="24">
        <f>VLOOKUP($C$8,Prijzen!$B$38:$T$41,H$31,FALSE)</f>
        <v>0.23411230073066347</v>
      </c>
      <c r="I162" s="24">
        <f>VLOOKUP($C$8,Prijzen!$B$38:$T$41,I$31,FALSE)</f>
        <v>0.2360860841826537</v>
      </c>
      <c r="J162" s="24">
        <f>VLOOKUP($C$8,Prijzen!$B$38:$T$41,J$31,FALSE)</f>
        <v>0.23809934330368376</v>
      </c>
      <c r="K162" s="24">
        <f>VLOOKUP($C$8,Prijzen!$B$38:$T$41,K$31,FALSE)</f>
        <v>0.24015286760713439</v>
      </c>
      <c r="L162" s="24">
        <f>VLOOKUP($C$8,Prijzen!$B$38:$T$41,L$31,FALSE)</f>
        <v>0.24224746239665404</v>
      </c>
      <c r="M162" s="24">
        <f>VLOOKUP($C$8,Prijzen!$B$38:$T$41,M$31,FALSE)</f>
        <v>0.24438394908196409</v>
      </c>
      <c r="N162" s="24">
        <f>VLOOKUP($C$8,Prijzen!$B$38:$T$41,N$31,FALSE)</f>
        <v>0.24656316550098034</v>
      </c>
      <c r="O162" s="24">
        <f>VLOOKUP($C$8,Prijzen!$B$38:$T$41,O$31,FALSE)</f>
        <v>0.2487859662483769</v>
      </c>
      <c r="P162" s="24">
        <f>VLOOKUP($C$8,Prijzen!$B$38:$T$41,P$31,FALSE)</f>
        <v>0.25105322301072142</v>
      </c>
      <c r="Q162" s="24">
        <f>VLOOKUP($C$8,Prijzen!$B$38:$T$41,Q$31,FALSE)</f>
        <v>0.25336582490831283</v>
      </c>
      <c r="R162" s="24">
        <f>VLOOKUP($C$8,Prijzen!$B$38:$T$41,R$31,FALSE)</f>
        <v>0.25572467884385602</v>
      </c>
      <c r="S162" s="24">
        <f>VLOOKUP($C$8,Prijzen!$B$38:$T$41,S$31,FALSE)</f>
        <v>0.23411230073066347</v>
      </c>
      <c r="T162" s="24">
        <f>VLOOKUP($C$8,Prijzen!$B$38:$T$41,T$31,FALSE)</f>
        <v>0.23411230073066347</v>
      </c>
      <c r="U162" s="24">
        <f>VLOOKUP($C$8,Prijzen!$B$38:$T$41,U$31,FALSE)</f>
        <v>0.23411230073066347</v>
      </c>
      <c r="V162" s="24">
        <f>VLOOKUP($C$8,Prijzen!$B$38:$T$41,V$31,FALSE)</f>
        <v>0.23411230073066347</v>
      </c>
      <c r="W162" s="24">
        <f>VLOOKUP($C$8,Prijzen!$B$38:$T$41,W$31,FALSE)</f>
        <v>0.23411230073066347</v>
      </c>
      <c r="X162" s="24">
        <f>VLOOKUP($C$8,Prijzen!$B$38:$T$41,X$31,FALSE)</f>
        <v>0.23411230073066347</v>
      </c>
      <c r="Y162" s="24">
        <f>VLOOKUP($C$8,Prijzen!$B$38:$T$41,Y$31,FALSE)</f>
        <v>0.23411230073066347</v>
      </c>
      <c r="Z162" s="24">
        <f>VLOOKUP($C$8,Prijzen!$B$38:$T$41,Z$31,FALSE)</f>
        <v>0.23411230073066347</v>
      </c>
      <c r="AA162" s="24">
        <f>VLOOKUP($C$8,Prijzen!$B$38:$T$41,AA$31,FALSE)</f>
        <v>0.23411230073066347</v>
      </c>
      <c r="AB162" s="24">
        <f>VLOOKUP($C$8,Prijzen!$B$38:$T$41,AB$31,FALSE)</f>
        <v>0.23411230073066347</v>
      </c>
      <c r="AC162" s="24"/>
      <c r="AD162" s="24">
        <f t="shared" si="74"/>
        <v>6.5524287577541047</v>
      </c>
    </row>
    <row r="163" spans="1:30" x14ac:dyDescent="0.25">
      <c r="A163" t="s">
        <v>76</v>
      </c>
      <c r="B163" s="28">
        <f>B162/(B161/9.5)</f>
        <v>2.3410347528157796</v>
      </c>
      <c r="C163" s="28">
        <f t="shared" ref="C163:AB163" si="76">C162/(C161/9.5)</f>
        <v>2.0942577376837876</v>
      </c>
      <c r="D163" s="28">
        <f t="shared" si="76"/>
        <v>1.9249309817396774</v>
      </c>
      <c r="E163" s="28">
        <f t="shared" si="76"/>
        <v>1.8502096601323152</v>
      </c>
      <c r="F163" s="28">
        <f t="shared" si="76"/>
        <v>1.7463684310289247</v>
      </c>
      <c r="G163" s="28">
        <f t="shared" si="76"/>
        <v>1.7035545122001428</v>
      </c>
      <c r="H163" s="28">
        <f t="shared" si="76"/>
        <v>1.7119500139126518</v>
      </c>
      <c r="I163" s="28">
        <f t="shared" si="76"/>
        <v>1.7039444684039335</v>
      </c>
      <c r="J163" s="28">
        <f t="shared" si="76"/>
        <v>1.6959903977012178</v>
      </c>
      <c r="K163" s="28">
        <f t="shared" si="76"/>
        <v>1.6880888512870105</v>
      </c>
      <c r="L163" s="28">
        <f t="shared" si="76"/>
        <v>1.6802408443721761</v>
      </c>
      <c r="M163" s="28">
        <f t="shared" si="76"/>
        <v>1.6724473576075609</v>
      </c>
      <c r="N163" s="28">
        <f t="shared" si="76"/>
        <v>1.6647093368390338</v>
      </c>
      <c r="O163" s="28">
        <f t="shared" si="76"/>
        <v>1.657027692905501</v>
      </c>
      <c r="P163" s="28">
        <f t="shared" si="76"/>
        <v>1.6494033014793619</v>
      </c>
      <c r="Q163" s="28">
        <f t="shared" si="76"/>
        <v>1.6418370029487988</v>
      </c>
      <c r="R163" s="28">
        <f t="shared" si="76"/>
        <v>1.6343296023412266</v>
      </c>
      <c r="S163" s="28">
        <f t="shared" si="76"/>
        <v>1.7119500139126518</v>
      </c>
      <c r="T163" s="28">
        <f t="shared" si="76"/>
        <v>1.7119500139126518</v>
      </c>
      <c r="U163" s="28">
        <f t="shared" si="76"/>
        <v>1.7119500139126518</v>
      </c>
      <c r="V163" s="28">
        <f t="shared" si="76"/>
        <v>1.7119500139126518</v>
      </c>
      <c r="W163" s="28">
        <f t="shared" si="76"/>
        <v>1.7119500139126518</v>
      </c>
      <c r="X163" s="28">
        <f t="shared" si="76"/>
        <v>1.7119500139126518</v>
      </c>
      <c r="Y163" s="28">
        <f t="shared" si="76"/>
        <v>1.7119500139126518</v>
      </c>
      <c r="Z163" s="28">
        <f t="shared" si="76"/>
        <v>1.7119500139126518</v>
      </c>
      <c r="AA163" s="28">
        <f t="shared" si="76"/>
        <v>1.7119500139126518</v>
      </c>
      <c r="AB163" s="28">
        <f t="shared" si="76"/>
        <v>1.7119500139126518</v>
      </c>
      <c r="AC163" s="28"/>
      <c r="AD163" s="28">
        <f t="shared" si="74"/>
        <v>47.179825084525589</v>
      </c>
    </row>
    <row r="164" spans="1:30" x14ac:dyDescent="0.25">
      <c r="A164" t="s">
        <v>77</v>
      </c>
      <c r="B164" s="9">
        <f>IFERROR(B158*Prijzen!$B$83+('Business case'!B157-'Business case'!B158)*'Business case'!B161,"")</f>
        <v>0</v>
      </c>
      <c r="C164" s="9">
        <f>IFERROR(C158*Prijzen!$B$83+('Business case'!C157-'Business case'!C158)*'Business case'!C161,"")</f>
        <v>0</v>
      </c>
      <c r="D164" s="9">
        <f>IFERROR(D158*Prijzen!$B$83+('Business case'!D157-'Business case'!D158)*'Business case'!D161,"")</f>
        <v>0</v>
      </c>
      <c r="E164" s="9">
        <f>IFERROR(E158*Prijzen!$B$83+('Business case'!E157-'Business case'!E158)*'Business case'!E161,"")</f>
        <v>0</v>
      </c>
      <c r="F164" s="9">
        <f>IFERROR(F158*Prijzen!$B$83+('Business case'!F157-'Business case'!F158)*'Business case'!F161,"")</f>
        <v>0</v>
      </c>
      <c r="G164" s="9">
        <f>IFERROR(G158*Prijzen!$B$83+('Business case'!G157-'Business case'!G158)*'Business case'!G161,"")</f>
        <v>0</v>
      </c>
      <c r="H164" s="9">
        <f>IFERROR(H158*Prijzen!$B$83+('Business case'!H157-'Business case'!H158)*'Business case'!H161,"")</f>
        <v>0</v>
      </c>
      <c r="I164" s="9">
        <f>IFERROR(I158*Prijzen!$B$83+('Business case'!I157-'Business case'!I158)*'Business case'!I161,"")</f>
        <v>0</v>
      </c>
      <c r="J164" s="9">
        <f>IFERROR(J158*Prijzen!$B$83+('Business case'!J157-'Business case'!J158)*'Business case'!J161,"")</f>
        <v>0</v>
      </c>
      <c r="K164" s="9">
        <f>IFERROR(K158*Prijzen!$B$83+('Business case'!K157-'Business case'!K158)*'Business case'!K161,"")</f>
        <v>0</v>
      </c>
      <c r="L164" s="9">
        <f>IFERROR(L158*Prijzen!$B$83+('Business case'!L157-'Business case'!L158)*'Business case'!L161,"")</f>
        <v>0</v>
      </c>
      <c r="M164" s="9">
        <f>IFERROR(M158*Prijzen!$B$83+('Business case'!M157-'Business case'!M158)*'Business case'!M161,"")</f>
        <v>0</v>
      </c>
      <c r="N164" s="9">
        <f>IFERROR(N158*Prijzen!$B$83+('Business case'!N157-'Business case'!N158)*'Business case'!N161,"")</f>
        <v>0</v>
      </c>
      <c r="O164" s="9">
        <f>IFERROR(O158*Prijzen!$B$83+('Business case'!O157-'Business case'!O158)*'Business case'!O161,"")</f>
        <v>0</v>
      </c>
      <c r="P164" s="9">
        <f>IFERROR(P158*Prijzen!$B$83+('Business case'!P157-'Business case'!P158)*'Business case'!P161,"")</f>
        <v>0</v>
      </c>
      <c r="Q164" s="9">
        <f>IFERROR(Q158*Prijzen!$B$83+('Business case'!Q157-'Business case'!Q158)*'Business case'!Q161,"")</f>
        <v>0</v>
      </c>
      <c r="R164" s="9">
        <f>IFERROR(R158*Prijzen!$B$83+('Business case'!R157-'Business case'!R158)*'Business case'!R161,"")</f>
        <v>0</v>
      </c>
      <c r="S164" s="9">
        <f>IFERROR(S158*Prijzen!$B$83+('Business case'!S157-'Business case'!S158)*'Business case'!S161,"")</f>
        <v>0</v>
      </c>
      <c r="T164" s="9">
        <f>IFERROR(T158*Prijzen!$B$83+('Business case'!T157-'Business case'!T158)*'Business case'!T161,"")</f>
        <v>0</v>
      </c>
      <c r="U164" s="9">
        <f>IFERROR(U158*Prijzen!$B$83+('Business case'!U157-'Business case'!U158)*'Business case'!U161,"")</f>
        <v>0</v>
      </c>
      <c r="V164" s="9">
        <f>IFERROR(V158*Prijzen!$B$83+('Business case'!V157-'Business case'!V158)*'Business case'!V161,"")</f>
        <v>0</v>
      </c>
      <c r="W164" s="9">
        <f>IFERROR(W158*Prijzen!$B$83+('Business case'!W157-'Business case'!W158)*'Business case'!W161,"")</f>
        <v>0</v>
      </c>
      <c r="X164" s="9">
        <f>IFERROR(X158*Prijzen!$B$83+('Business case'!X157-'Business case'!X158)*'Business case'!X161,"")</f>
        <v>0</v>
      </c>
      <c r="Y164" s="9">
        <f>IFERROR(Y158*Prijzen!$B$83+('Business case'!Y157-'Business case'!Y158)*'Business case'!Y161,"")</f>
        <v>0</v>
      </c>
      <c r="Z164" s="9">
        <f>IFERROR(Z158*Prijzen!$B$83+('Business case'!Z157-'Business case'!Z158)*'Business case'!Z161,"")</f>
        <v>0</v>
      </c>
      <c r="AA164" s="9">
        <f>IFERROR(AA158*Prijzen!$B$83+('Business case'!AA157-'Business case'!AA158)*'Business case'!AA161,"")</f>
        <v>0</v>
      </c>
      <c r="AB164" s="9">
        <f>IFERROR(AB158*Prijzen!$B$83+('Business case'!AB157-'Business case'!AB158)*'Business case'!AB161,"")</f>
        <v>0</v>
      </c>
      <c r="AC164" s="9"/>
      <c r="AD164" s="9">
        <f t="shared" si="74"/>
        <v>0</v>
      </c>
    </row>
    <row r="165" spans="1:30" x14ac:dyDescent="0.25">
      <c r="A165" t="s">
        <v>78</v>
      </c>
      <c r="B165" s="9">
        <f>IFERROR(B160*Prijzen!$C$83+('Business case'!B159-'Business case'!B160)*'Business case'!B162,"")</f>
        <v>0</v>
      </c>
      <c r="C165" s="9">
        <f>IFERROR(C160*Prijzen!$C$83+('Business case'!C159-'Business case'!C160)*'Business case'!C162,"")</f>
        <v>356.1006558979177</v>
      </c>
      <c r="D165" s="9">
        <f>IFERROR(D160*Prijzen!$C$83+('Business case'!D159-'Business case'!D160)*'Business case'!D162,"")</f>
        <v>321.35473282173848</v>
      </c>
      <c r="E165" s="9">
        <f>IFERROR(E160*Prijzen!$C$83+('Business case'!E159-'Business case'!E160)*'Business case'!E162,"")</f>
        <v>304.89217890096</v>
      </c>
      <c r="F165" s="9">
        <f>IFERROR(F160*Prijzen!$C$83+('Business case'!F159-'Business case'!F160)*'Business case'!F162,"")</f>
        <v>290.03399906368327</v>
      </c>
      <c r="G165" s="9">
        <f>IFERROR(G160*Prijzen!$C$83+('Business case'!G159-'Business case'!G160)*'Business case'!G162,"")</f>
        <v>293.28639147177159</v>
      </c>
      <c r="H165" s="9">
        <f>IFERROR(H160*Prijzen!$C$83+('Business case'!H159-'Business case'!H160)*'Business case'!H162,"")</f>
        <v>302.17655029642503</v>
      </c>
      <c r="I165" s="9">
        <f>IFERROR(I160*Prijzen!$C$83+('Business case'!I159-'Business case'!I160)*'Business case'!I162,"")</f>
        <v>304.72417839069055</v>
      </c>
      <c r="J165" s="9">
        <f>IFERROR(J160*Prijzen!$C$83+('Business case'!J159-'Business case'!J160)*'Business case'!J162,"")</f>
        <v>307.32275904684144</v>
      </c>
      <c r="K165" s="9">
        <f>IFERROR(K160*Prijzen!$C$83+('Business case'!K159-'Business case'!K160)*'Business case'!K162,"")</f>
        <v>309.97331131611526</v>
      </c>
      <c r="L165" s="9">
        <f>IFERROR(L160*Prijzen!$C$83+('Business case'!L159-'Business case'!L160)*'Business case'!L162,"")</f>
        <v>312.67687463077459</v>
      </c>
      <c r="M165" s="9">
        <f>IFERROR(M160*Prijzen!$C$83+('Business case'!M159-'Business case'!M160)*'Business case'!M162,"")</f>
        <v>315.43450921172712</v>
      </c>
      <c r="N165" s="9">
        <f>IFERROR(N160*Prijzen!$C$83+('Business case'!N159-'Business case'!N160)*'Business case'!N162,"")</f>
        <v>318.24729648429872</v>
      </c>
      <c r="O165" s="9">
        <f>IFERROR(O160*Prijzen!$C$83+('Business case'!O159-'Business case'!O160)*'Business case'!O162,"")</f>
        <v>321.11633950232169</v>
      </c>
      <c r="P165" s="9">
        <f>IFERROR(P160*Prijzen!$C$83+('Business case'!P159-'Business case'!P160)*'Business case'!P162,"")</f>
        <v>324.04276338070514</v>
      </c>
      <c r="Q165" s="9">
        <f>IFERROR(Q160*Prijzen!$C$83+('Business case'!Q159-'Business case'!Q160)*'Business case'!Q162,"")</f>
        <v>327.02771573665632</v>
      </c>
      <c r="R165" s="9">
        <f>IFERROR(R160*Prijzen!$C$83+('Business case'!R159-'Business case'!R160)*'Business case'!R162,"")</f>
        <v>0</v>
      </c>
      <c r="S165" s="9">
        <f>IFERROR(S160*Prijzen!$C$83+('Business case'!S159-'Business case'!S160)*'Business case'!S162,"")</f>
        <v>0</v>
      </c>
      <c r="T165" s="9">
        <f>IFERROR(T160*Prijzen!$C$83+('Business case'!T159-'Business case'!T160)*'Business case'!T162,"")</f>
        <v>0</v>
      </c>
      <c r="U165" s="9">
        <f>IFERROR(U160*Prijzen!$C$83+('Business case'!U159-'Business case'!U160)*'Business case'!U162,"")</f>
        <v>0</v>
      </c>
      <c r="V165" s="9">
        <f>IFERROR(V160*Prijzen!$C$83+('Business case'!V159-'Business case'!V160)*'Business case'!V162,"")</f>
        <v>0</v>
      </c>
      <c r="W165" s="9">
        <f>IFERROR(W160*Prijzen!$C$83+('Business case'!W159-'Business case'!W160)*'Business case'!W162,"")</f>
        <v>0</v>
      </c>
      <c r="X165" s="9">
        <f>IFERROR(X160*Prijzen!$C$83+('Business case'!X159-'Business case'!X160)*'Business case'!X162,"")</f>
        <v>0</v>
      </c>
      <c r="Y165" s="9">
        <f>IFERROR(Y160*Prijzen!$C$83+('Business case'!Y159-'Business case'!Y160)*'Business case'!Y162,"")</f>
        <v>0</v>
      </c>
      <c r="Z165" s="9">
        <f>IFERROR(Z160*Prijzen!$C$83+('Business case'!Z159-'Business case'!Z160)*'Business case'!Z162,"")</f>
        <v>0</v>
      </c>
      <c r="AA165" s="9">
        <f>IFERROR(AA160*Prijzen!$C$83+('Business case'!AA159-'Business case'!AA160)*'Business case'!AA162,"")</f>
        <v>0</v>
      </c>
      <c r="AB165" s="9">
        <f>IFERROR(AB160*Prijzen!$C$83+('Business case'!AB159-'Business case'!AB160)*'Business case'!AB162,"")</f>
        <v>0</v>
      </c>
      <c r="AC165" s="9"/>
      <c r="AD165" s="9">
        <f t="shared" si="74"/>
        <v>4708.410256152627</v>
      </c>
    </row>
    <row r="166" spans="1:30" x14ac:dyDescent="0.25">
      <c r="A166" t="s">
        <v>70</v>
      </c>
      <c r="B166" s="9">
        <f>IF($C$4=100%,0,B39)</f>
        <v>0</v>
      </c>
      <c r="C166" s="9">
        <f t="shared" ref="C166:AB166" si="77">IF($C$4=100%,0,C39)</f>
        <v>0</v>
      </c>
      <c r="D166" s="9">
        <f t="shared" si="77"/>
        <v>0</v>
      </c>
      <c r="E166" s="9">
        <f t="shared" si="77"/>
        <v>0</v>
      </c>
      <c r="F166" s="9">
        <f t="shared" si="77"/>
        <v>0</v>
      </c>
      <c r="G166" s="9">
        <f t="shared" si="77"/>
        <v>0</v>
      </c>
      <c r="H166" s="9">
        <f t="shared" si="77"/>
        <v>0</v>
      </c>
      <c r="I166" s="9">
        <f t="shared" si="77"/>
        <v>0</v>
      </c>
      <c r="J166" s="9">
        <f t="shared" si="77"/>
        <v>0</v>
      </c>
      <c r="K166" s="9">
        <f t="shared" si="77"/>
        <v>0</v>
      </c>
      <c r="L166" s="9">
        <f t="shared" si="77"/>
        <v>0</v>
      </c>
      <c r="M166" s="9">
        <f t="shared" si="77"/>
        <v>0</v>
      </c>
      <c r="N166" s="9">
        <f t="shared" si="77"/>
        <v>0</v>
      </c>
      <c r="O166" s="9">
        <f t="shared" si="77"/>
        <v>0</v>
      </c>
      <c r="P166" s="9">
        <f t="shared" si="77"/>
        <v>0</v>
      </c>
      <c r="Q166" s="9">
        <f t="shared" si="77"/>
        <v>0</v>
      </c>
      <c r="R166" s="9">
        <f t="shared" si="77"/>
        <v>0</v>
      </c>
      <c r="S166" s="9">
        <f t="shared" si="77"/>
        <v>0</v>
      </c>
      <c r="T166" s="9">
        <f t="shared" si="77"/>
        <v>0</v>
      </c>
      <c r="U166" s="9">
        <f t="shared" si="77"/>
        <v>0</v>
      </c>
      <c r="V166" s="9">
        <f t="shared" si="77"/>
        <v>0</v>
      </c>
      <c r="W166" s="9">
        <f t="shared" si="77"/>
        <v>0</v>
      </c>
      <c r="X166" s="9">
        <f t="shared" si="77"/>
        <v>0</v>
      </c>
      <c r="Y166" s="9">
        <f t="shared" si="77"/>
        <v>0</v>
      </c>
      <c r="Z166" s="9">
        <f t="shared" si="77"/>
        <v>0</v>
      </c>
      <c r="AA166" s="9">
        <f t="shared" si="77"/>
        <v>0</v>
      </c>
      <c r="AB166" s="9">
        <f t="shared" si="77"/>
        <v>0</v>
      </c>
      <c r="AC166" s="9"/>
      <c r="AD166" s="9">
        <f t="shared" si="74"/>
        <v>0</v>
      </c>
    </row>
    <row r="167" spans="1:30" x14ac:dyDescent="0.25">
      <c r="A167" t="s">
        <v>21</v>
      </c>
      <c r="B167" s="9">
        <f>IF($C$4=100%,0,B40)</f>
        <v>0</v>
      </c>
      <c r="C167" s="9">
        <f t="shared" ref="C167:AB167" si="78">IF($C$4=100%,0,C40)</f>
        <v>0</v>
      </c>
      <c r="D167" s="9">
        <f t="shared" si="78"/>
        <v>0</v>
      </c>
      <c r="E167" s="9">
        <f t="shared" si="78"/>
        <v>0</v>
      </c>
      <c r="F167" s="9">
        <f t="shared" si="78"/>
        <v>0</v>
      </c>
      <c r="G167" s="9">
        <f t="shared" si="78"/>
        <v>0</v>
      </c>
      <c r="H167" s="9">
        <f t="shared" si="78"/>
        <v>0</v>
      </c>
      <c r="I167" s="9">
        <f t="shared" si="78"/>
        <v>0</v>
      </c>
      <c r="J167" s="9">
        <f t="shared" si="78"/>
        <v>0</v>
      </c>
      <c r="K167" s="9">
        <f t="shared" si="78"/>
        <v>0</v>
      </c>
      <c r="L167" s="9">
        <f t="shared" si="78"/>
        <v>0</v>
      </c>
      <c r="M167" s="9">
        <f t="shared" si="78"/>
        <v>0</v>
      </c>
      <c r="N167" s="9">
        <f t="shared" si="78"/>
        <v>0</v>
      </c>
      <c r="O167" s="9">
        <f t="shared" si="78"/>
        <v>0</v>
      </c>
      <c r="P167" s="9">
        <f t="shared" si="78"/>
        <v>0</v>
      </c>
      <c r="Q167" s="9">
        <f t="shared" si="78"/>
        <v>0</v>
      </c>
      <c r="R167" s="9">
        <f t="shared" si="78"/>
        <v>0</v>
      </c>
      <c r="S167" s="9">
        <f t="shared" si="78"/>
        <v>0</v>
      </c>
      <c r="T167" s="9">
        <f t="shared" si="78"/>
        <v>0</v>
      </c>
      <c r="U167" s="9">
        <f t="shared" si="78"/>
        <v>0</v>
      </c>
      <c r="V167" s="9">
        <f t="shared" si="78"/>
        <v>0</v>
      </c>
      <c r="W167" s="9">
        <f t="shared" si="78"/>
        <v>0</v>
      </c>
      <c r="X167" s="9">
        <f t="shared" si="78"/>
        <v>0</v>
      </c>
      <c r="Y167" s="9">
        <f t="shared" si="78"/>
        <v>0</v>
      </c>
      <c r="Z167" s="9">
        <f t="shared" si="78"/>
        <v>0</v>
      </c>
      <c r="AA167" s="9">
        <f t="shared" si="78"/>
        <v>0</v>
      </c>
      <c r="AB167" s="9">
        <f t="shared" si="78"/>
        <v>0</v>
      </c>
      <c r="AC167" s="9"/>
      <c r="AD167" s="9">
        <f t="shared" si="74"/>
        <v>0</v>
      </c>
    </row>
    <row r="168" spans="1:30" x14ac:dyDescent="0.25">
      <c r="A168" t="s">
        <v>71</v>
      </c>
      <c r="B168" s="9">
        <f>IF(B$33="JA",IF($C$4="100"%,0,Prijzen!D160),0)</f>
        <v>0</v>
      </c>
      <c r="C168" s="9">
        <f>IF(C$33="JA",IF($C$4="100"%,0,Prijzen!E160),0)</f>
        <v>0</v>
      </c>
      <c r="D168" s="9">
        <f>IF(D$33="JA",IF($C$4="100"%,0,Prijzen!F160),0)</f>
        <v>0</v>
      </c>
      <c r="E168" s="9">
        <f>IF(E$33="JA",IF($C$4="100"%,0,Prijzen!G160),0)</f>
        <v>0</v>
      </c>
      <c r="F168" s="9">
        <f>IF(F$33="JA",IF($C$4="100"%,0,Prijzen!H160),0)</f>
        <v>0</v>
      </c>
      <c r="G168" s="9">
        <f>IF(G$33="JA",IF($C$4="100"%,0,Prijzen!I160),0)</f>
        <v>0</v>
      </c>
      <c r="H168" s="9">
        <f>IF(H$33="JA",IF($C$4="100"%,0,Prijzen!J160),0)</f>
        <v>0</v>
      </c>
      <c r="I168" s="9">
        <f>IF(I$33="JA",IF($C$4="100"%,0,Prijzen!K160),0)</f>
        <v>0</v>
      </c>
      <c r="J168" s="9">
        <f>IF(J$33="JA",IF($C$4="100"%,0,Prijzen!L160),0)</f>
        <v>0</v>
      </c>
      <c r="K168" s="9">
        <f>IF(K$33="JA",IF($C$4="100"%,0,Prijzen!M160),0)</f>
        <v>0</v>
      </c>
      <c r="L168" s="9">
        <f>IF(L$33="JA",IF($C$4="100"%,0,Prijzen!N160),0)</f>
        <v>0</v>
      </c>
      <c r="M168" s="9">
        <f>IF(M$33="JA",IF($C$4="100"%,0,Prijzen!O160),0)</f>
        <v>0</v>
      </c>
      <c r="N168" s="9">
        <f>IF(N$33="JA",IF($C$4="100"%,0,Prijzen!P160),0)</f>
        <v>0</v>
      </c>
      <c r="O168" s="9">
        <f>IF(O$33="JA",IF($C$4="100"%,0,Prijzen!Q160),0)</f>
        <v>0</v>
      </c>
      <c r="P168" s="9">
        <f>IF(P$33="JA",IF($C$4="100"%,0,Prijzen!R160),0)</f>
        <v>0</v>
      </c>
      <c r="Q168" s="9">
        <f>IF(Q$33="JA",IF($C$4="100"%,0,Prijzen!S160),0)</f>
        <v>0</v>
      </c>
      <c r="R168" s="9">
        <f>IF(R$33="JA",IF($C$4="100"%,0,Prijzen!T160),0)</f>
        <v>0</v>
      </c>
      <c r="S168" s="9">
        <f>IF(S$33="JA",IF($C$4="100"%,0,Prijzen!U160),0)</f>
        <v>0</v>
      </c>
      <c r="T168" s="9">
        <f>IF(T$33="JA",IF($C$4="100"%,0,Prijzen!V160),0)</f>
        <v>0</v>
      </c>
      <c r="U168" s="9">
        <f>IF(U$33="JA",IF($C$4="100"%,0,Prijzen!W160),0)</f>
        <v>0</v>
      </c>
      <c r="V168" s="9">
        <f>IF(V$33="JA",IF($C$4="100"%,0,Prijzen!X160),0)</f>
        <v>0</v>
      </c>
      <c r="W168" s="9">
        <f>IF(W$33="JA",IF($C$4="100"%,0,Prijzen!Y160),0)</f>
        <v>0</v>
      </c>
      <c r="X168" s="9">
        <f>IF(X$33="JA",IF($C$4="100"%,0,Prijzen!Z160),0)</f>
        <v>0</v>
      </c>
      <c r="Y168" s="9">
        <f>IF(Y$33="JA",IF($C$4="100"%,0,Prijzen!AA160),0)</f>
        <v>0</v>
      </c>
      <c r="Z168" s="9">
        <f>IF(Z$33="JA",IF($C$4="100"%,0,Prijzen!AB160),0)</f>
        <v>0</v>
      </c>
      <c r="AA168" s="9">
        <f>IF(AA$33="JA",IF($C$4="100"%,0,Prijzen!AC160),0)</f>
        <v>0</v>
      </c>
      <c r="AB168" s="9">
        <f>IF(AB$33="JA",IF($C$4="100"%,0,Prijzen!AD160),0)</f>
        <v>0</v>
      </c>
      <c r="AC168" s="9"/>
      <c r="AD168" s="9">
        <f t="shared" si="74"/>
        <v>0</v>
      </c>
    </row>
    <row r="169" spans="1:30" x14ac:dyDescent="0.25">
      <c r="A169" t="s">
        <v>79</v>
      </c>
      <c r="B169" s="9">
        <f>IF(B$33="JA",-PMT($G$17,15,$G$15,0,1),0)</f>
        <v>0</v>
      </c>
      <c r="C169" s="9">
        <f>IF(C$33="JA",-PMT($G$17,15,$G$15,0,1),0)</f>
        <v>1876.687270546051</v>
      </c>
      <c r="D169" s="9">
        <f t="shared" ref="D169:AB169" si="79">IF(D$33="JA",-PMT($G$17,15,$G$15,0,1),0)</f>
        <v>1876.687270546051</v>
      </c>
      <c r="E169" s="9">
        <f t="shared" si="79"/>
        <v>1876.687270546051</v>
      </c>
      <c r="F169" s="9">
        <f t="shared" si="79"/>
        <v>1876.687270546051</v>
      </c>
      <c r="G169" s="9">
        <f t="shared" si="79"/>
        <v>1876.687270546051</v>
      </c>
      <c r="H169" s="9">
        <f t="shared" si="79"/>
        <v>1876.687270546051</v>
      </c>
      <c r="I169" s="9">
        <f t="shared" si="79"/>
        <v>1876.687270546051</v>
      </c>
      <c r="J169" s="9">
        <f t="shared" si="79"/>
        <v>1876.687270546051</v>
      </c>
      <c r="K169" s="9">
        <f t="shared" si="79"/>
        <v>1876.687270546051</v>
      </c>
      <c r="L169" s="9">
        <f t="shared" si="79"/>
        <v>1876.687270546051</v>
      </c>
      <c r="M169" s="9">
        <f t="shared" si="79"/>
        <v>1876.687270546051</v>
      </c>
      <c r="N169" s="9">
        <f t="shared" si="79"/>
        <v>1876.687270546051</v>
      </c>
      <c r="O169" s="9">
        <f t="shared" si="79"/>
        <v>1876.687270546051</v>
      </c>
      <c r="P169" s="9">
        <f t="shared" si="79"/>
        <v>1876.687270546051</v>
      </c>
      <c r="Q169" s="9">
        <f t="shared" si="79"/>
        <v>1876.687270546051</v>
      </c>
      <c r="R169" s="9">
        <f t="shared" si="79"/>
        <v>0</v>
      </c>
      <c r="S169" s="9">
        <f t="shared" si="79"/>
        <v>0</v>
      </c>
      <c r="T169" s="9">
        <f t="shared" si="79"/>
        <v>0</v>
      </c>
      <c r="U169" s="9">
        <f t="shared" si="79"/>
        <v>0</v>
      </c>
      <c r="V169" s="9">
        <f t="shared" si="79"/>
        <v>0</v>
      </c>
      <c r="W169" s="9">
        <f t="shared" si="79"/>
        <v>0</v>
      </c>
      <c r="X169" s="9">
        <f t="shared" si="79"/>
        <v>0</v>
      </c>
      <c r="Y169" s="9">
        <f t="shared" si="79"/>
        <v>0</v>
      </c>
      <c r="Z169" s="9">
        <f t="shared" si="79"/>
        <v>0</v>
      </c>
      <c r="AA169" s="9">
        <f t="shared" si="79"/>
        <v>0</v>
      </c>
      <c r="AB169" s="9">
        <f t="shared" si="79"/>
        <v>0</v>
      </c>
      <c r="AC169" s="9"/>
      <c r="AD169" s="9">
        <f t="shared" si="74"/>
        <v>28150.309058190775</v>
      </c>
    </row>
    <row r="170" spans="1:30" x14ac:dyDescent="0.25">
      <c r="A170" t="s">
        <v>27</v>
      </c>
      <c r="B170" s="9">
        <f>IF(B$33="JA",Kengetallen!$B$62*(1+Kengetallen!$B$2)^'Business case'!B$32,0)</f>
        <v>0</v>
      </c>
      <c r="C170" s="9">
        <f>IF(C$33="JA",Kengetallen!$B$62*(1+Kengetallen!$B$2)^'Business case'!C$32,0)</f>
        <v>153</v>
      </c>
      <c r="D170" s="9">
        <f>IF(D$33="JA",Kengetallen!$B$62*(1+Kengetallen!$B$2)^'Business case'!D$32,0)</f>
        <v>156.06</v>
      </c>
      <c r="E170" s="9">
        <f>IF(E$33="JA",Kengetallen!$B$62*(1+Kengetallen!$B$2)^'Business case'!E$32,0)</f>
        <v>159.18119999999999</v>
      </c>
      <c r="F170" s="9">
        <f>IF(F$33="JA",Kengetallen!$B$62*(1+Kengetallen!$B$2)^'Business case'!F$32,0)</f>
        <v>162.364824</v>
      </c>
      <c r="G170" s="9">
        <f>IF(G$33="JA",Kengetallen!$B$62*(1+Kengetallen!$B$2)^'Business case'!G$32,0)</f>
        <v>165.61212048000002</v>
      </c>
      <c r="H170" s="9">
        <f>IF(H$33="JA",Kengetallen!$B$62*(1+Kengetallen!$B$2)^'Business case'!H$32,0)</f>
        <v>168.92436288960002</v>
      </c>
      <c r="I170" s="9">
        <f>IF(I$33="JA",Kengetallen!$B$62*(1+Kengetallen!$B$2)^'Business case'!I$32,0)</f>
        <v>172.30285014739198</v>
      </c>
      <c r="J170" s="9">
        <f>IF(J$33="JA",Kengetallen!$B$62*(1+Kengetallen!$B$2)^'Business case'!J$32,0)</f>
        <v>175.74890715033982</v>
      </c>
      <c r="K170" s="9">
        <f>IF(K$33="JA",Kengetallen!$B$62*(1+Kengetallen!$B$2)^'Business case'!K$32,0)</f>
        <v>179.26388529334662</v>
      </c>
      <c r="L170" s="9">
        <f>IF(L$33="JA",Kengetallen!$B$62*(1+Kengetallen!$B$2)^'Business case'!L$32,0)</f>
        <v>182.84916299921358</v>
      </c>
      <c r="M170" s="9">
        <f>IF(M$33="JA",Kengetallen!$B$62*(1+Kengetallen!$B$2)^'Business case'!M$32,0)</f>
        <v>186.50614625919781</v>
      </c>
      <c r="N170" s="9">
        <f>IF(N$33="JA",Kengetallen!$B$62*(1+Kengetallen!$B$2)^'Business case'!N$32,0)</f>
        <v>190.2362691843818</v>
      </c>
      <c r="O170" s="9">
        <f>IF(O$33="JA",Kengetallen!$B$62*(1+Kengetallen!$B$2)^'Business case'!O$32,0)</f>
        <v>194.04099456806941</v>
      </c>
      <c r="P170" s="9">
        <f>IF(P$33="JA",Kengetallen!$B$62*(1+Kengetallen!$B$2)^'Business case'!P$32,0)</f>
        <v>197.92181445943083</v>
      </c>
      <c r="Q170" s="9">
        <f>IF(Q$33="JA",Kengetallen!$B$62*(1+Kengetallen!$B$2)^'Business case'!Q$32,0)</f>
        <v>201.88025074861937</v>
      </c>
      <c r="R170" s="9">
        <f>IF(R$33="JA",Kengetallen!$B$62*(1+Kengetallen!$B$2)^'Business case'!R$32,0)</f>
        <v>0</v>
      </c>
      <c r="S170" s="9">
        <f>IF(S$33="JA",Kengetallen!$B$62*(1+Kengetallen!$B$2)^'Business case'!S$32,0)</f>
        <v>0</v>
      </c>
      <c r="T170" s="9">
        <f>IF(T$33="JA",Kengetallen!$B$62*(1+Kengetallen!$B$2)^'Business case'!T$32,0)</f>
        <v>0</v>
      </c>
      <c r="U170" s="9">
        <f>IF(U$33="JA",Kengetallen!$B$62*(1+Kengetallen!$B$2)^'Business case'!U$32,0)</f>
        <v>0</v>
      </c>
      <c r="V170" s="9">
        <f>IF(V$33="JA",Kengetallen!$B$62*(1+Kengetallen!$B$2)^'Business case'!V$32,0)</f>
        <v>0</v>
      </c>
      <c r="W170" s="9">
        <f>IF(W$33="JA",Kengetallen!$B$62*(1+Kengetallen!$B$2)^'Business case'!W$32,0)</f>
        <v>0</v>
      </c>
      <c r="X170" s="9">
        <f>IF(X$33="JA",Kengetallen!$B$62*(1+Kengetallen!$B$2)^'Business case'!X$32,0)</f>
        <v>0</v>
      </c>
      <c r="Y170" s="9">
        <f>IF(Y$33="JA",Kengetallen!$B$62*(1+Kengetallen!$B$2)^'Business case'!Y$32,0)</f>
        <v>0</v>
      </c>
      <c r="Z170" s="9">
        <f>IF(Z$33="JA",Kengetallen!$B$62*(1+Kengetallen!$B$2)^'Business case'!Z$32,0)</f>
        <v>0</v>
      </c>
      <c r="AA170" s="9">
        <f>IF(AA$33="JA",Kengetallen!$B$62*(1+Kengetallen!$B$2)^'Business case'!AA$32,0)</f>
        <v>0</v>
      </c>
      <c r="AB170" s="9">
        <f>IF(AB$33="JA",Kengetallen!$B$62*(1+Kengetallen!$B$2)^'Business case'!AB$32,0)</f>
        <v>0</v>
      </c>
      <c r="AC170" s="9"/>
      <c r="AD170" s="9">
        <f t="shared" si="74"/>
        <v>2645.8927881795912</v>
      </c>
    </row>
    <row r="171" spans="1:30" x14ac:dyDescent="0.25">
      <c r="A171" t="s">
        <v>80</v>
      </c>
      <c r="B171" s="25">
        <f>IF(B$33="JA",($G$19+$C$7)*(1+Kengetallen!$B$19)^B$32,0)</f>
        <v>0</v>
      </c>
      <c r="C171" s="25">
        <f>IF(C$33="JA",($G$19+$C$7)*(1+Kengetallen!$B$19)^C$32,0)</f>
        <v>1281.6982</v>
      </c>
      <c r="D171" s="25">
        <f>IF(D$33="JA",($G$19+$C$7)*(1+Kengetallen!$B$19)^D$32,0)</f>
        <v>1272.7263126</v>
      </c>
      <c r="E171" s="25">
        <f>IF(E$33="JA",($G$19+$C$7)*(1+Kengetallen!$B$19)^E$32,0)</f>
        <v>1263.8172284118</v>
      </c>
      <c r="F171" s="25">
        <f>IF(F$33="JA",($G$19+$C$7)*(1+Kengetallen!$B$19)^F$32,0)</f>
        <v>1254.9705078129173</v>
      </c>
      <c r="G171" s="25">
        <f>IF(G$33="JA",($G$19+$C$7)*(1+Kengetallen!$B$19)^G$32,0)</f>
        <v>1246.1857142582269</v>
      </c>
      <c r="H171" s="25">
        <f>IF(H$33="JA",($G$19+$C$7)*(1+Kengetallen!$B$19)^H$32,0)</f>
        <v>1237.4624142584191</v>
      </c>
      <c r="I171" s="25">
        <f>IF(I$33="JA",($G$19+$C$7)*(1+Kengetallen!$B$19)^I$32,0)</f>
        <v>1228.8001773586102</v>
      </c>
      <c r="J171" s="25">
        <f>IF(J$33="JA",($G$19+$C$7)*(1+Kengetallen!$B$19)^J$32,0)</f>
        <v>1220.1985761170999</v>
      </c>
      <c r="K171" s="25">
        <f>IF(K$33="JA",($G$19+$C$7)*(1+Kengetallen!$B$19)^K$32,0)</f>
        <v>1211.6571860842803</v>
      </c>
      <c r="L171" s="25">
        <f>IF(L$33="JA",($G$19+$C$7)*(1+Kengetallen!$B$19)^L$32,0)</f>
        <v>1203.1755857816902</v>
      </c>
      <c r="M171" s="25">
        <f>IF(M$33="JA",($G$19+$C$7)*(1+Kengetallen!$B$19)^M$32,0)</f>
        <v>1194.7533566812183</v>
      </c>
      <c r="N171" s="25">
        <f>IF(N$33="JA",($G$19+$C$7)*(1+Kengetallen!$B$19)^N$32,0)</f>
        <v>1186.3900831844498</v>
      </c>
      <c r="O171" s="25">
        <f>IF(O$33="JA",($G$19+$C$7)*(1+Kengetallen!$B$19)^O$32,0)</f>
        <v>1178.0853526021585</v>
      </c>
      <c r="P171" s="25">
        <f>IF(P$33="JA",($G$19+$C$7)*(1+Kengetallen!$B$19)^P$32,0)</f>
        <v>1169.8387551339436</v>
      </c>
      <c r="Q171" s="25">
        <f>IF(Q$33="JA",($G$19+$C$7)*(1+Kengetallen!$B$19)^Q$32,0)</f>
        <v>1161.6498838480059</v>
      </c>
      <c r="R171" s="25">
        <f>IF(R$33="JA",($F$19+$C$7)*(1+Kengetallen!$B$19)^R$32,0)</f>
        <v>0</v>
      </c>
      <c r="S171" s="25">
        <f>IF(S$33="JA",($F$19+$C$7)*(1+Kengetallen!$B$19)^S$32,0)</f>
        <v>0</v>
      </c>
      <c r="T171" s="25">
        <f>IF(T$33="JA",($F$19+$C$7)*(1+Kengetallen!$B$19)^T$32,0)</f>
        <v>0</v>
      </c>
      <c r="U171" s="25">
        <f>IF(U$33="JA",($F$19+$C$7)*(1+Kengetallen!$B$19)^U$32,0)</f>
        <v>0</v>
      </c>
      <c r="V171" s="25">
        <f>IF(V$33="JA",($F$19+$C$7)*(1+Kengetallen!$B$19)^V$32,0)</f>
        <v>0</v>
      </c>
      <c r="W171" s="25">
        <f>IF(W$33="JA",($F$19+$C$7)*(1+Kengetallen!$B$19)^W$32,0)</f>
        <v>0</v>
      </c>
      <c r="X171" s="25">
        <f>IF(X$33="JA",($F$19+$C$7)*(1+Kengetallen!$B$19)^X$32,0)</f>
        <v>0</v>
      </c>
      <c r="Y171" s="25">
        <f>IF(Y$33="JA",($F$19+$C$7)*(1+Kengetallen!$B$19)^Y$32,0)</f>
        <v>0</v>
      </c>
      <c r="Z171" s="25">
        <f>IF(Z$33="JA",($F$19+$C$7)*(1+Kengetallen!$B$19)^Z$32,0)</f>
        <v>0</v>
      </c>
      <c r="AA171" s="25">
        <f>IF(AA$33="JA",($F$19+$C$7)*(1+Kengetallen!$B$19)^AA$32,0)</f>
        <v>0</v>
      </c>
      <c r="AB171" s="25">
        <f>IF(AB$33="JA",($F$19+$C$7)*(1+Kengetallen!$B$19)^AB$32,0)</f>
        <v>0</v>
      </c>
      <c r="AC171" s="25"/>
      <c r="AD171" s="25">
        <f t="shared" si="74"/>
        <v>18311.409334132819</v>
      </c>
    </row>
    <row r="172" spans="1:30" x14ac:dyDescent="0.25">
      <c r="A172" t="s">
        <v>81</v>
      </c>
      <c r="B172" s="25">
        <f t="shared" ref="B172:Q172" si="80">IF(B$33="JA",B171*$G$16,0)</f>
        <v>0</v>
      </c>
      <c r="C172" s="25">
        <f t="shared" si="80"/>
        <v>512.67928000000006</v>
      </c>
      <c r="D172" s="25">
        <f t="shared" si="80"/>
        <v>509.09052504000005</v>
      </c>
      <c r="E172" s="25">
        <f t="shared" si="80"/>
        <v>505.52689136472003</v>
      </c>
      <c r="F172" s="25">
        <f t="shared" si="80"/>
        <v>501.98820312516693</v>
      </c>
      <c r="G172" s="25">
        <f t="shared" si="80"/>
        <v>498.47428570329078</v>
      </c>
      <c r="H172" s="25">
        <f t="shared" si="80"/>
        <v>494.98496570336766</v>
      </c>
      <c r="I172" s="25">
        <f t="shared" si="80"/>
        <v>491.52007094344413</v>
      </c>
      <c r="J172" s="25">
        <f t="shared" si="80"/>
        <v>488.07943044683998</v>
      </c>
      <c r="K172" s="25">
        <f t="shared" si="80"/>
        <v>484.66287443371215</v>
      </c>
      <c r="L172" s="25">
        <f t="shared" si="80"/>
        <v>481.27023431267611</v>
      </c>
      <c r="M172" s="25">
        <f t="shared" si="80"/>
        <v>477.90134267248732</v>
      </c>
      <c r="N172" s="25">
        <f t="shared" si="80"/>
        <v>474.55603327377997</v>
      </c>
      <c r="O172" s="25">
        <f t="shared" si="80"/>
        <v>471.23414104086345</v>
      </c>
      <c r="P172" s="25">
        <f t="shared" si="80"/>
        <v>467.93550205357747</v>
      </c>
      <c r="Q172" s="25">
        <f t="shared" si="80"/>
        <v>464.65995353920238</v>
      </c>
      <c r="R172" s="25">
        <f t="shared" ref="R172:AB172" si="81">IF(R$33="JA",R171*$F$16,0)</f>
        <v>0</v>
      </c>
      <c r="S172" s="25">
        <f t="shared" si="81"/>
        <v>0</v>
      </c>
      <c r="T172" s="25">
        <f t="shared" si="81"/>
        <v>0</v>
      </c>
      <c r="U172" s="25">
        <f t="shared" si="81"/>
        <v>0</v>
      </c>
      <c r="V172" s="25">
        <f t="shared" si="81"/>
        <v>0</v>
      </c>
      <c r="W172" s="25">
        <f t="shared" si="81"/>
        <v>0</v>
      </c>
      <c r="X172" s="25">
        <f t="shared" si="81"/>
        <v>0</v>
      </c>
      <c r="Y172" s="25">
        <f t="shared" si="81"/>
        <v>0</v>
      </c>
      <c r="Z172" s="25">
        <f t="shared" si="81"/>
        <v>0</v>
      </c>
      <c r="AA172" s="25">
        <f t="shared" si="81"/>
        <v>0</v>
      </c>
      <c r="AB172" s="25">
        <f t="shared" si="81"/>
        <v>0</v>
      </c>
      <c r="AC172" s="25"/>
      <c r="AD172" s="25">
        <f t="shared" si="74"/>
        <v>7324.563733653129</v>
      </c>
    </row>
    <row r="173" spans="1:30" x14ac:dyDescent="0.25">
      <c r="A173" t="s">
        <v>82</v>
      </c>
      <c r="B173" s="25">
        <f>IF(B$33="JA",($C$2+B159-B172)*Prijzen!D$62,0)</f>
        <v>0</v>
      </c>
      <c r="C173" s="25">
        <f>IF(C$33="JA",($C$2+C159-C172)*Prijzen!E$62,0)</f>
        <v>2737.9545941333336</v>
      </c>
      <c r="D173" s="25">
        <f>IF(D$33="JA",($C$2+D159-D172)*Prijzen!F$62,0)</f>
        <v>2740.2513973077334</v>
      </c>
      <c r="E173" s="25">
        <f>IF(E$33="JA",($C$2+E159-E172)*Prijzen!G$62,0)</f>
        <v>2356.863543082738</v>
      </c>
      <c r="F173" s="25">
        <f>IF(F$33="JA",($C$2+F159-F172)*Prijzen!H$62,0)</f>
        <v>1972.8227598957567</v>
      </c>
      <c r="G173" s="25">
        <f>IF(G$33="JA",($C$2+G159-G172)*Prijzen!I$62,0)</f>
        <v>1588.1358476231158</v>
      </c>
      <c r="H173" s="25">
        <f>IF(H$33="JA",($C$2+H159-H172)*Prijzen!J$62,0)</f>
        <v>1202.8095429363907</v>
      </c>
      <c r="I173" s="25">
        <f>IF(I$33="JA",($C$2+I159-I172)*Prijzen!K$62,0)</f>
        <v>0</v>
      </c>
      <c r="J173" s="25">
        <f>IF(J$33="JA",($C$2+J159-J172)*Prijzen!L$62,0)</f>
        <v>0</v>
      </c>
      <c r="K173" s="25">
        <f>IF(K$33="JA",($C$2+K159-K172)*Prijzen!M$62,0)</f>
        <v>0</v>
      </c>
      <c r="L173" s="25">
        <f>IF(L$33="JA",($C$2+L159-L172)*Prijzen!N$62,0)</f>
        <v>0</v>
      </c>
      <c r="M173" s="25">
        <f>IF(M$33="JA",($C$2+M159-M172)*Prijzen!O$62,0)</f>
        <v>0</v>
      </c>
      <c r="N173" s="25">
        <f>IF(N$33="JA",($C$2+N159-N172)*Prijzen!P$62,0)</f>
        <v>0</v>
      </c>
      <c r="O173" s="25">
        <f>IF(O$33="JA",($C$2+O159-O172)*Prijzen!Q$62,0)</f>
        <v>0</v>
      </c>
      <c r="P173" s="25">
        <f>IF(P$33="JA",($C$2+P159-P172)*Prijzen!R$62,0)</f>
        <v>0</v>
      </c>
      <c r="Q173" s="25">
        <f>IF(Q$33="JA",($C$2+Q159-Q172)*Prijzen!S$62,0)</f>
        <v>0</v>
      </c>
      <c r="R173" s="25">
        <f>IF(R$33="JA",($C$2+R159-R172)*Prijzen!T$62,0)</f>
        <v>0</v>
      </c>
      <c r="S173" s="25">
        <f>IF(S$33="JA",($C$2+S159-S172)*Prijzen!U$62,0)</f>
        <v>0</v>
      </c>
      <c r="T173" s="25">
        <f>IF(T$33="JA",($C$2+T159-T172)*Prijzen!V$62,0)</f>
        <v>0</v>
      </c>
      <c r="U173" s="25">
        <f>IF(U$33="JA",($C$2+U159-U172)*Prijzen!W$62,0)</f>
        <v>0</v>
      </c>
      <c r="V173" s="25">
        <f>IF(V$33="JA",($C$2+V159-V172)*Prijzen!X$62,0)</f>
        <v>0</v>
      </c>
      <c r="W173" s="25">
        <f>IF(W$33="JA",($C$2+W159-W172)*Prijzen!Y$62,0)</f>
        <v>0</v>
      </c>
      <c r="X173" s="25">
        <f>IF(X$33="JA",($C$2+X159-X172)*Prijzen!Z$62,0)</f>
        <v>0</v>
      </c>
      <c r="Y173" s="25">
        <f>IF(Y$33="JA",($C$2+Y159-Y172)*Prijzen!AA$62,0)</f>
        <v>0</v>
      </c>
      <c r="Z173" s="25">
        <f>IF(Z$33="JA",($C$2+Z159-Z172)*Prijzen!AB$62,0)</f>
        <v>0</v>
      </c>
      <c r="AA173" s="25">
        <f>IF(AA$33="JA",($C$2+AA159-AA172)*Prijzen!AC$62,0)</f>
        <v>0</v>
      </c>
      <c r="AB173" s="25">
        <f>IF(AB$33="JA",($C$2+AB159-AB172)*Prijzen!AD$62,0)</f>
        <v>0</v>
      </c>
      <c r="AC173" s="25"/>
      <c r="AD173" s="25">
        <f t="shared" si="74"/>
        <v>12598.837684979069</v>
      </c>
    </row>
    <row r="174" spans="1:30" x14ac:dyDescent="0.25">
      <c r="A174" t="s">
        <v>83</v>
      </c>
      <c r="B174" s="25">
        <f>IF(B$33="JA",MIN((B171-B172),B173),0)</f>
        <v>0</v>
      </c>
      <c r="C174" s="25">
        <f>IF(C$33="JA",MIN((C171-C172),C173),0)</f>
        <v>769.01891999999998</v>
      </c>
      <c r="D174" s="25">
        <f t="shared" ref="D174:AB174" si="82">IF(D$33="JA",MIN((D171-D172),D173),0)</f>
        <v>763.63578755999993</v>
      </c>
      <c r="E174" s="25">
        <f t="shared" si="82"/>
        <v>758.2903370470799</v>
      </c>
      <c r="F174" s="25">
        <f t="shared" si="82"/>
        <v>752.98230468775034</v>
      </c>
      <c r="G174" s="25">
        <f t="shared" si="82"/>
        <v>747.71142855493611</v>
      </c>
      <c r="H174" s="25">
        <f t="shared" si="82"/>
        <v>742.47744855505152</v>
      </c>
      <c r="I174" s="25">
        <f t="shared" si="82"/>
        <v>0</v>
      </c>
      <c r="J174" s="25">
        <f t="shared" si="82"/>
        <v>0</v>
      </c>
      <c r="K174" s="25">
        <f t="shared" si="82"/>
        <v>0</v>
      </c>
      <c r="L174" s="25">
        <f t="shared" si="82"/>
        <v>0</v>
      </c>
      <c r="M174" s="25">
        <f t="shared" si="82"/>
        <v>0</v>
      </c>
      <c r="N174" s="25">
        <f t="shared" si="82"/>
        <v>0</v>
      </c>
      <c r="O174" s="25">
        <f t="shared" si="82"/>
        <v>0</v>
      </c>
      <c r="P174" s="25">
        <f t="shared" si="82"/>
        <v>0</v>
      </c>
      <c r="Q174" s="25">
        <f t="shared" si="82"/>
        <v>0</v>
      </c>
      <c r="R174" s="25">
        <f t="shared" si="82"/>
        <v>0</v>
      </c>
      <c r="S174" s="25">
        <f t="shared" si="82"/>
        <v>0</v>
      </c>
      <c r="T174" s="25">
        <f t="shared" si="82"/>
        <v>0</v>
      </c>
      <c r="U174" s="25">
        <f t="shared" si="82"/>
        <v>0</v>
      </c>
      <c r="V174" s="25">
        <f t="shared" si="82"/>
        <v>0</v>
      </c>
      <c r="W174" s="25">
        <f t="shared" si="82"/>
        <v>0</v>
      </c>
      <c r="X174" s="25">
        <f t="shared" si="82"/>
        <v>0</v>
      </c>
      <c r="Y174" s="25">
        <f t="shared" si="82"/>
        <v>0</v>
      </c>
      <c r="Z174" s="25">
        <f t="shared" si="82"/>
        <v>0</v>
      </c>
      <c r="AA174" s="25">
        <f t="shared" si="82"/>
        <v>0</v>
      </c>
      <c r="AB174" s="25">
        <f t="shared" si="82"/>
        <v>0</v>
      </c>
      <c r="AC174" s="25"/>
      <c r="AD174" s="25">
        <f t="shared" si="74"/>
        <v>4534.116226404818</v>
      </c>
    </row>
    <row r="175" spans="1:30" x14ac:dyDescent="0.25">
      <c r="A175" t="s">
        <v>84</v>
      </c>
      <c r="B175" s="25">
        <f>IF(B$33="JA",B171-B172-B174,0)</f>
        <v>0</v>
      </c>
      <c r="C175" s="25">
        <f>IF(C$33="JA",C171-C172-C174,0)</f>
        <v>0</v>
      </c>
      <c r="D175" s="25">
        <f t="shared" ref="D175:AB175" si="83">IF(D$33="JA",D171-D172-D174,0)</f>
        <v>0</v>
      </c>
      <c r="E175" s="25">
        <f t="shared" si="83"/>
        <v>0</v>
      </c>
      <c r="F175" s="25">
        <f t="shared" si="83"/>
        <v>0</v>
      </c>
      <c r="G175" s="25">
        <f t="shared" si="83"/>
        <v>0</v>
      </c>
      <c r="H175" s="25">
        <f t="shared" si="83"/>
        <v>0</v>
      </c>
      <c r="I175" s="25">
        <f t="shared" si="83"/>
        <v>737.28010641516607</v>
      </c>
      <c r="J175" s="25">
        <f t="shared" si="83"/>
        <v>732.11914567025997</v>
      </c>
      <c r="K175" s="25">
        <f t="shared" si="83"/>
        <v>726.99431165056808</v>
      </c>
      <c r="L175" s="25">
        <f t="shared" si="83"/>
        <v>721.90535146901402</v>
      </c>
      <c r="M175" s="25">
        <f t="shared" si="83"/>
        <v>716.85201400873098</v>
      </c>
      <c r="N175" s="25">
        <f t="shared" si="83"/>
        <v>711.83404991066982</v>
      </c>
      <c r="O175" s="25">
        <f t="shared" si="83"/>
        <v>706.85121156129503</v>
      </c>
      <c r="P175" s="25">
        <f t="shared" si="83"/>
        <v>701.90325308036608</v>
      </c>
      <c r="Q175" s="25">
        <f t="shared" si="83"/>
        <v>696.98993030880342</v>
      </c>
      <c r="R175" s="25">
        <f t="shared" si="83"/>
        <v>0</v>
      </c>
      <c r="S175" s="25">
        <f t="shared" si="83"/>
        <v>0</v>
      </c>
      <c r="T175" s="25">
        <f t="shared" si="83"/>
        <v>0</v>
      </c>
      <c r="U175" s="25">
        <f t="shared" si="83"/>
        <v>0</v>
      </c>
      <c r="V175" s="25">
        <f t="shared" si="83"/>
        <v>0</v>
      </c>
      <c r="W175" s="25">
        <f t="shared" si="83"/>
        <v>0</v>
      </c>
      <c r="X175" s="25">
        <f t="shared" si="83"/>
        <v>0</v>
      </c>
      <c r="Y175" s="25">
        <f t="shared" si="83"/>
        <v>0</v>
      </c>
      <c r="Z175" s="25">
        <f t="shared" si="83"/>
        <v>0</v>
      </c>
      <c r="AA175" s="25">
        <f t="shared" si="83"/>
        <v>0</v>
      </c>
      <c r="AB175" s="25">
        <f t="shared" si="83"/>
        <v>0</v>
      </c>
      <c r="AC175" s="25"/>
      <c r="AD175" s="25">
        <f t="shared" si="74"/>
        <v>6452.7293740748728</v>
      </c>
    </row>
    <row r="176" spans="1:30" x14ac:dyDescent="0.25">
      <c r="A176" t="s">
        <v>85</v>
      </c>
      <c r="B176" s="29">
        <f>IF(B$33="JA",B177/B171,0)</f>
        <v>0</v>
      </c>
      <c r="C176" s="29">
        <f>IF(C$33="JA",C177/C171,0)</f>
        <v>0.275890183279209</v>
      </c>
      <c r="D176" s="29">
        <f t="shared" ref="D176:AB176" si="84">IF(D$33="JA",D177/D171,0)</f>
        <v>0.2489706622760228</v>
      </c>
      <c r="E176" s="29">
        <f t="shared" si="84"/>
        <v>0.23621624314417644</v>
      </c>
      <c r="F176" s="29">
        <f t="shared" si="84"/>
        <v>0.22470481824054794</v>
      </c>
      <c r="G176" s="29">
        <f t="shared" si="84"/>
        <v>0.22722462021985299</v>
      </c>
      <c r="H176" s="29">
        <f t="shared" si="84"/>
        <v>0.2341123007306635</v>
      </c>
      <c r="I176" s="29">
        <f t="shared" si="84"/>
        <v>0.15943753517601436</v>
      </c>
      <c r="J176" s="29">
        <f t="shared" si="84"/>
        <v>0.16024283882442639</v>
      </c>
      <c r="K176" s="29">
        <f t="shared" si="84"/>
        <v>0.16106424854580664</v>
      </c>
      <c r="L176" s="29">
        <f t="shared" si="84"/>
        <v>0.16190208646161452</v>
      </c>
      <c r="M176" s="29">
        <f t="shared" si="84"/>
        <v>0.16275668113573852</v>
      </c>
      <c r="N176" s="29">
        <f t="shared" si="84"/>
        <v>0.16362836770334505</v>
      </c>
      <c r="O176" s="29">
        <f t="shared" si="84"/>
        <v>0.16451748800230365</v>
      </c>
      <c r="P176" s="29">
        <f t="shared" si="84"/>
        <v>0.16542439070724146</v>
      </c>
      <c r="Q176" s="29">
        <f t="shared" si="84"/>
        <v>0.16634943146627804</v>
      </c>
      <c r="R176" s="29">
        <f t="shared" si="84"/>
        <v>0</v>
      </c>
      <c r="S176" s="29">
        <f t="shared" si="84"/>
        <v>0</v>
      </c>
      <c r="T176" s="29">
        <f t="shared" si="84"/>
        <v>0</v>
      </c>
      <c r="U176" s="29">
        <f t="shared" si="84"/>
        <v>0</v>
      </c>
      <c r="V176" s="29">
        <f t="shared" si="84"/>
        <v>0</v>
      </c>
      <c r="W176" s="29">
        <f t="shared" si="84"/>
        <v>0</v>
      </c>
      <c r="X176" s="29">
        <f t="shared" si="84"/>
        <v>0</v>
      </c>
      <c r="Y176" s="29">
        <f t="shared" si="84"/>
        <v>0</v>
      </c>
      <c r="Z176" s="29">
        <f t="shared" si="84"/>
        <v>0</v>
      </c>
      <c r="AA176" s="29">
        <f t="shared" si="84"/>
        <v>0</v>
      </c>
      <c r="AB176" s="29">
        <f t="shared" si="84"/>
        <v>0</v>
      </c>
      <c r="AC176" s="29"/>
      <c r="AD176" s="29">
        <f t="shared" si="74"/>
        <v>2.9124418959132412</v>
      </c>
    </row>
    <row r="177" spans="1:30" x14ac:dyDescent="0.25">
      <c r="A177" t="s">
        <v>29</v>
      </c>
      <c r="B177" s="30">
        <f>IF(B$33="JA",B172*B162+B174*B162+B175*VLOOKUP($C$8,Prijzen!$B$65:$T$68,B$31,FALSE),0)</f>
        <v>0</v>
      </c>
      <c r="C177" s="30">
        <f>IF(C$33="JA",C172*C162+C174*C162+C175*VLOOKUP($C$8,Prijzen!$B$65:$T$68,C$31,FALSE),0)</f>
        <v>353.60795130663229</v>
      </c>
      <c r="D177" s="30">
        <f>IF(D$33="JA",D172*D162+D174*D162+D175*VLOOKUP($C$8,Prijzen!$B$65:$T$68,D$31,FALSE),0)</f>
        <v>316.87151294414241</v>
      </c>
      <c r="E177" s="30">
        <f>IF(E$33="JA",E172*E162+E174*E162+E175*VLOOKUP($C$8,Prijzen!$B$65:$T$68,E$31,FALSE),0)</f>
        <v>298.53415771632092</v>
      </c>
      <c r="F177" s="30">
        <f>IF(F$33="JA",F172*F162+F174*F162+F175*VLOOKUP($C$8,Prijzen!$B$65:$T$68,F$31,FALSE),0)</f>
        <v>281.99791985534972</v>
      </c>
      <c r="G177" s="30">
        <f>IF(G$33="JA",G172*G162+G174*G162+G175*VLOOKUP($C$8,Prijzen!$B$65:$T$68,G$31,FALSE),0)</f>
        <v>283.16407564573183</v>
      </c>
      <c r="H177" s="30">
        <f>IF(H$33="JA",H172*H162+H174*H162+H175*VLOOKUP($C$8,Prijzen!$B$65:$T$68,H$31,FALSE),0)</f>
        <v>289.70517286975991</v>
      </c>
      <c r="I177" s="30">
        <f>IF(I$33="JA",I172*I162+I174*I162+I175*VLOOKUP($C$8,Prijzen!$B$65:$T$68,I$31,FALSE),0)</f>
        <v>195.91687150190612</v>
      </c>
      <c r="J177" s="30">
        <f>IF(J$33="JA",J172*J162+J174*J162+J175*VLOOKUP($C$8,Prijzen!$B$65:$T$68,J$31,FALSE),0)</f>
        <v>195.52808376652703</v>
      </c>
      <c r="K177" s="30">
        <f>IF(K$33="JA",K172*K162+K174*K162+K175*VLOOKUP($C$8,Prijzen!$B$65:$T$68,K$31,FALSE),0)</f>
        <v>195.15465417179121</v>
      </c>
      <c r="L177" s="30">
        <f>IF(L$33="JA",L172*L162+L174*L162+L175*VLOOKUP($C$8,Prijzen!$B$65:$T$68,L$31,FALSE),0)</f>
        <v>194.7966377177309</v>
      </c>
      <c r="M177" s="30">
        <f>IF(M$33="JA",M172*M162+M174*M162+M175*VLOOKUP($C$8,Prijzen!$B$65:$T$68,M$31,FALSE),0)</f>
        <v>194.45409110921833</v>
      </c>
      <c r="N177" s="30">
        <f>IF(N$33="JA",N172*N162+N174*N162+N175*VLOOKUP($C$8,Prijzen!$B$65:$T$68,N$31,FALSE),0)</f>
        <v>194.12707277090726</v>
      </c>
      <c r="O177" s="30">
        <f>IF(O$33="JA",O172*O162+O174*O162+O175*VLOOKUP($C$8,Prijzen!$B$65:$T$68,O$31,FALSE),0)</f>
        <v>193.81564286241527</v>
      </c>
      <c r="P177" s="30">
        <f>IF(P$33="JA",P172*P162+P174*P162+P175*VLOOKUP($C$8,Prijzen!$B$65:$T$68,P$31,FALSE),0)</f>
        <v>193.51986329375046</v>
      </c>
      <c r="Q177" s="30">
        <f>IF(Q$33="JA",Q172*Q162+Q174*Q162+Q175*VLOOKUP($C$8,Prijzen!$B$65:$T$68,Q$31,FALSE),0)</f>
        <v>193.23979774098368</v>
      </c>
      <c r="R177" s="30">
        <f>IF(R$33="JA",R172*R162+R174*R162+R175*VLOOKUP($C$8,Prijzen!$B$65:$T$68,R$31,FALSE),0)</f>
        <v>0</v>
      </c>
      <c r="S177" s="30">
        <f>IF(S$33="JA",S172*S162+S174*S162+S175*VLOOKUP($C$8,Prijzen!$B$65:$T$68,S$31,FALSE),0)</f>
        <v>0</v>
      </c>
      <c r="T177" s="30">
        <f>IF(T$33="JA",T172*T162+T174*T162+T175*VLOOKUP($C$8,Prijzen!$B$65:$T$68,T$31,FALSE),0)</f>
        <v>0</v>
      </c>
      <c r="U177" s="30">
        <f>IF(U$33="JA",U172*U162+U174*U162+U175*VLOOKUP($C$8,Prijzen!$B$65:$T$68,U$31,FALSE),0)</f>
        <v>0</v>
      </c>
      <c r="V177" s="30">
        <f>IF(V$33="JA",V172*V162+V174*V162+V175*VLOOKUP($C$8,Prijzen!$B$65:$T$68,V$31,FALSE),0)</f>
        <v>0</v>
      </c>
      <c r="W177" s="30">
        <f>IF(W$33="JA",W172*W162+W174*W162+W175*VLOOKUP($C$8,Prijzen!$B$65:$T$68,W$31,FALSE),0)</f>
        <v>0</v>
      </c>
      <c r="X177" s="30">
        <f>IF(X$33="JA",X172*X162+X174*X162+X175*VLOOKUP($C$8,Prijzen!$B$65:$T$68,X$31,FALSE),0)</f>
        <v>0</v>
      </c>
      <c r="Y177" s="30">
        <f>IF(Y$33="JA",Y172*Y162+Y174*Y162+Y175*VLOOKUP($C$8,Prijzen!$B$65:$T$68,Y$31,FALSE),0)</f>
        <v>0</v>
      </c>
      <c r="Z177" s="30">
        <f>IF(Z$33="JA",Z172*Z162+Z174*Z162+Z175*VLOOKUP($C$8,Prijzen!$B$65:$T$68,Z$31,FALSE),0)</f>
        <v>0</v>
      </c>
      <c r="AA177" s="30">
        <f>IF(AA$33="JA",AA172*AA162+AA174*AA162+AA175*VLOOKUP($C$8,Prijzen!$B$65:$T$68,AA$31,FALSE),0)</f>
        <v>0</v>
      </c>
      <c r="AB177" s="30">
        <f>IF(AB$33="JA",AB172*AB162+AB174*AB162+AB175*VLOOKUP($C$8,Prijzen!$B$65:$T$68,AB$31,FALSE),0)</f>
        <v>0</v>
      </c>
      <c r="AC177" s="30"/>
      <c r="AD177" s="30">
        <f t="shared" si="74"/>
        <v>3574.4335052731672</v>
      </c>
    </row>
    <row r="178" spans="1:30" x14ac:dyDescent="0.25">
      <c r="A178" t="s">
        <v>86</v>
      </c>
      <c r="B178" s="9">
        <f>IF(B$33="JA",-PMT($G$17,Kengetallen!$B$16,Investering!$D$100,0,1),0)</f>
        <v>0</v>
      </c>
      <c r="C178" s="9">
        <f>IF(C$33="JA",-PMT($G$17,Kengetallen!$B$16,Investering!$D$100,0,1),0)</f>
        <v>98.731749545662709</v>
      </c>
      <c r="D178" s="9">
        <f>IF(D$33="JA",-PMT($G$17,Kengetallen!$B$16,Investering!$D$100,0,1),0)</f>
        <v>98.731749545662709</v>
      </c>
      <c r="E178" s="9">
        <f>IF(E$33="JA",-PMT($G$17,Kengetallen!$B$16,Investering!$D$100,0,1),0)</f>
        <v>98.731749545662709</v>
      </c>
      <c r="F178" s="9">
        <f>IF(F$33="JA",-PMT($G$17,Kengetallen!$B$16,Investering!$D$100,0,1),0)</f>
        <v>98.731749545662709</v>
      </c>
      <c r="G178" s="9">
        <f>IF(G$33="JA",-PMT($G$17,Kengetallen!$B$16,Investering!$D$100,0,1),0)</f>
        <v>98.731749545662709</v>
      </c>
      <c r="H178" s="9">
        <f>IF(H$33="JA",-PMT($G$17,Kengetallen!$B$16,Investering!$D$100,0,1),0)</f>
        <v>98.731749545662709</v>
      </c>
      <c r="I178" s="9">
        <f>IF(I$33="JA",-PMT($G$17,Kengetallen!$B$16,Investering!$D$100,0,1),0)</f>
        <v>98.731749545662709</v>
      </c>
      <c r="J178" s="9">
        <f>IF(J$33="JA",-PMT($G$17,Kengetallen!$B$16,Investering!$D$100,0,1),0)</f>
        <v>98.731749545662709</v>
      </c>
      <c r="K178" s="9">
        <f>IF(K$33="JA",-PMT($G$17,Kengetallen!$B$16,Investering!$D$100,0,1),0)</f>
        <v>98.731749545662709</v>
      </c>
      <c r="L178" s="9">
        <f>IF(L$33="JA",-PMT($G$17,Kengetallen!$B$16,Investering!$D$100,0,1),0)</f>
        <v>98.731749545662709</v>
      </c>
      <c r="M178" s="9">
        <f>IF(M$33="JA",-PMT($G$17,Kengetallen!$B$16,Investering!$D$100,0,1),0)</f>
        <v>98.731749545662709</v>
      </c>
      <c r="N178" s="9">
        <f>IF(N$33="JA",-PMT($G$17,Kengetallen!$B$16,Investering!$D$100,0,1),0)</f>
        <v>98.731749545662709</v>
      </c>
      <c r="O178" s="9">
        <f>IF(O$33="JA",-PMT($G$17,Kengetallen!$B$16,Investering!$D$100,0,1),0)</f>
        <v>98.731749545662709</v>
      </c>
      <c r="P178" s="9">
        <f>IF(P$33="JA",-PMT($G$17,Kengetallen!$B$16,Investering!$D$100,0,1),0)</f>
        <v>98.731749545662709</v>
      </c>
      <c r="Q178" s="9">
        <f>IF(Q$33="JA",-PMT($G$17,Kengetallen!$B$16,Investering!$D$100,0,1),0)</f>
        <v>98.731749545662709</v>
      </c>
      <c r="R178" s="9">
        <f>IF(R$33="JA",-PMT($F$17,Kengetallen!$B$16,Investering!$D$83,0,1),0)</f>
        <v>0</v>
      </c>
      <c r="S178" s="9">
        <f>IF(S$33="JA",-PMT($F$17,Kengetallen!$B$16,Investering!$D$83,0,1),0)</f>
        <v>0</v>
      </c>
      <c r="T178" s="9">
        <f>IF(T$33="JA",-PMT($F$17,Kengetallen!$B$16,Investering!$D$83,0,1),0)</f>
        <v>0</v>
      </c>
      <c r="U178" s="9">
        <f>IF(U$33="JA",-PMT($F$17,Kengetallen!$B$16,Investering!$D$83,0,1),0)</f>
        <v>0</v>
      </c>
      <c r="V178" s="9">
        <f>IF(V$33="JA",-PMT($F$17,Kengetallen!$B$16,Investering!$D$83,0,1),0)</f>
        <v>0</v>
      </c>
      <c r="W178" s="9">
        <f>IF(W$33="JA",-PMT($F$17,Kengetallen!$B$16,Investering!$D$83,0,1),0)</f>
        <v>0</v>
      </c>
      <c r="X178" s="9">
        <f>IF(X$33="JA",-PMT($F$17,Kengetallen!$B$16,Investering!$D$83,0,1),0)</f>
        <v>0</v>
      </c>
      <c r="Y178" s="9">
        <f>IF(Y$33="JA",-PMT($F$17,Kengetallen!$B$16,Investering!$D$83,0,1),0)</f>
        <v>0</v>
      </c>
      <c r="Z178" s="9">
        <f>IF(Z$33="JA",-PMT($F$17,Kengetallen!$B$16,Investering!$D$83,0,1),0)</f>
        <v>0</v>
      </c>
      <c r="AA178" s="9">
        <f>IF(AA$33="JA",-PMT($F$17,Kengetallen!$B$16,Investering!$D$83,0,1),0)</f>
        <v>0</v>
      </c>
      <c r="AB178" s="9">
        <f>IF(AB$33="JA",-PMT($F$17,Kengetallen!$B$16,Investering!$D$83,0,1),0)</f>
        <v>0</v>
      </c>
      <c r="AC178" s="9"/>
      <c r="AD178" s="9">
        <f t="shared" si="74"/>
        <v>1480.976243184941</v>
      </c>
    </row>
    <row r="179" spans="1:30" x14ac:dyDescent="0.25">
      <c r="A179" t="s">
        <v>33</v>
      </c>
      <c r="B179" s="9">
        <f>IF(B$33="JA",Kengetallen!$B$20*(1+Kengetallen!$B$2)^'Business case'!B$32,0)</f>
        <v>0</v>
      </c>
      <c r="C179" s="9">
        <f>IF(C$33="JA",Kengetallen!$B$20*(1+Kengetallen!$B$2)^'Business case'!C$32,0)</f>
        <v>25.5</v>
      </c>
      <c r="D179" s="9">
        <f>IF(D$33="JA",Kengetallen!$B$20*(1+Kengetallen!$B$2)^'Business case'!D$32,0)</f>
        <v>26.009999999999998</v>
      </c>
      <c r="E179" s="9">
        <f>IF(E$33="JA",Kengetallen!$B$20*(1+Kengetallen!$B$2)^'Business case'!E$32,0)</f>
        <v>26.530199999999997</v>
      </c>
      <c r="F179" s="9">
        <f>IF(F$33="JA",Kengetallen!$B$20*(1+Kengetallen!$B$2)^'Business case'!F$32,0)</f>
        <v>27.060804000000001</v>
      </c>
      <c r="G179" s="9">
        <f>IF(G$33="JA",Kengetallen!$B$20*(1+Kengetallen!$B$2)^'Business case'!G$32,0)</f>
        <v>27.602020079999999</v>
      </c>
      <c r="H179" s="9">
        <f>IF(H$33="JA",Kengetallen!$B$20*(1+Kengetallen!$B$2)^'Business case'!H$32,0)</f>
        <v>28.154060481600002</v>
      </c>
      <c r="I179" s="9">
        <f>IF(I$33="JA",Kengetallen!$B$20*(1+Kengetallen!$B$2)^'Business case'!I$32,0)</f>
        <v>28.717141691231994</v>
      </c>
      <c r="J179" s="9">
        <f>IF(J$33="JA",Kengetallen!$B$20*(1+Kengetallen!$B$2)^'Business case'!J$32,0)</f>
        <v>29.291484525056639</v>
      </c>
      <c r="K179" s="9">
        <f>IF(K$33="JA",Kengetallen!$B$20*(1+Kengetallen!$B$2)^'Business case'!K$32,0)</f>
        <v>29.877314215557771</v>
      </c>
      <c r="L179" s="9">
        <f>IF(L$33="JA",Kengetallen!$B$20*(1+Kengetallen!$B$2)^'Business case'!L$32,0)</f>
        <v>30.474860499868928</v>
      </c>
      <c r="M179" s="9">
        <f>IF(M$33="JA",Kengetallen!$B$20*(1+Kengetallen!$B$2)^'Business case'!M$32,0)</f>
        <v>31.0843577098663</v>
      </c>
      <c r="N179" s="9">
        <f>IF(N$33="JA",Kengetallen!$B$20*(1+Kengetallen!$B$2)^'Business case'!N$32,0)</f>
        <v>31.706044864063632</v>
      </c>
      <c r="O179" s="9">
        <f>IF(O$33="JA",Kengetallen!$B$20*(1+Kengetallen!$B$2)^'Business case'!O$32,0)</f>
        <v>32.340165761344899</v>
      </c>
      <c r="P179" s="9">
        <f>IF(P$33="JA",Kengetallen!$B$20*(1+Kengetallen!$B$2)^'Business case'!P$32,0)</f>
        <v>32.986969076571803</v>
      </c>
      <c r="Q179" s="9">
        <f>IF(Q$33="JA",Kengetallen!$B$20*(1+Kengetallen!$B$2)^'Business case'!Q$32,0)</f>
        <v>33.646708458103234</v>
      </c>
      <c r="R179" s="9">
        <f>IF(R$33="JA",Kengetallen!$B$20*(1+Kengetallen!$B$2)^'Business case'!R$32,0)</f>
        <v>0</v>
      </c>
      <c r="S179" s="9">
        <f>IF(S$33="JA",Kengetallen!$B$20*(1+Kengetallen!$B$2)^'Business case'!S$32,0)</f>
        <v>0</v>
      </c>
      <c r="T179" s="9">
        <f>IF(T$33="JA",Kengetallen!$B$20*(1+Kengetallen!$B$2)^'Business case'!T$32,0)</f>
        <v>0</v>
      </c>
      <c r="U179" s="9">
        <f>IF(U$33="JA",Kengetallen!$B$20*(1+Kengetallen!$B$2)^'Business case'!U$32,0)</f>
        <v>0</v>
      </c>
      <c r="V179" s="9">
        <f>IF(V$33="JA",Kengetallen!$B$20*(1+Kengetallen!$B$2)^'Business case'!V$32,0)</f>
        <v>0</v>
      </c>
      <c r="W179" s="9">
        <f>IF(W$33="JA",Kengetallen!$B$20*(1+Kengetallen!$B$2)^'Business case'!W$32,0)</f>
        <v>0</v>
      </c>
      <c r="X179" s="9">
        <f>IF(X$33="JA",Kengetallen!$B$20*(1+Kengetallen!$B$2)^'Business case'!X$32,0)</f>
        <v>0</v>
      </c>
      <c r="Y179" s="9">
        <f>IF(Y$33="JA",Kengetallen!$B$20*(1+Kengetallen!$B$2)^'Business case'!Y$32,0)</f>
        <v>0</v>
      </c>
      <c r="Z179" s="9">
        <f>IF(Z$33="JA",Kengetallen!$B$20*(1+Kengetallen!$B$2)^'Business case'!Z$32,0)</f>
        <v>0</v>
      </c>
      <c r="AA179" s="9">
        <f>IF(AA$33="JA",Kengetallen!$B$20*(1+Kengetallen!$B$2)^'Business case'!AA$32,0)</f>
        <v>0</v>
      </c>
      <c r="AB179" s="9">
        <f>IF(AB$33="JA",Kengetallen!$B$20*(1+Kengetallen!$B$2)^'Business case'!AB$32,0)</f>
        <v>0</v>
      </c>
      <c r="AC179" s="9"/>
      <c r="AD179" s="9">
        <f t="shared" si="74"/>
        <v>440.98213136326524</v>
      </c>
    </row>
    <row r="180" spans="1:30" x14ac:dyDescent="0.25">
      <c r="A180" s="3" t="s">
        <v>36</v>
      </c>
      <c r="B180" s="17">
        <f>SUM(B164:B170)-B177+B178+B179</f>
        <v>0</v>
      </c>
      <c r="C180" s="17">
        <f>SUM(C164:C170)-C177+C178+C179</f>
        <v>2156.4117246829992</v>
      </c>
      <c r="D180" s="17">
        <f t="shared" ref="D180:AB180" si="85">SUM(D164:D170)-D177+D178+D179</f>
        <v>2161.9722399693096</v>
      </c>
      <c r="E180" s="17">
        <f t="shared" si="85"/>
        <v>2167.4884412763531</v>
      </c>
      <c r="F180" s="17">
        <f t="shared" si="85"/>
        <v>2172.8807273000475</v>
      </c>
      <c r="G180" s="17">
        <f t="shared" si="85"/>
        <v>2178.7554764777537</v>
      </c>
      <c r="H180" s="17">
        <f t="shared" si="85"/>
        <v>2184.9688208895791</v>
      </c>
      <c r="I180" s="17">
        <f t="shared" si="85"/>
        <v>2285.2463188191223</v>
      </c>
      <c r="J180" s="17">
        <f t="shared" si="85"/>
        <v>2292.2540870474245</v>
      </c>
      <c r="K180" s="17">
        <f t="shared" si="85"/>
        <v>2299.3788767449419</v>
      </c>
      <c r="L180" s="17">
        <f t="shared" si="85"/>
        <v>2306.6232805038399</v>
      </c>
      <c r="M180" s="17">
        <f t="shared" si="85"/>
        <v>2313.9899421632867</v>
      </c>
      <c r="N180" s="17">
        <f t="shared" si="85"/>
        <v>2321.4815578535504</v>
      </c>
      <c r="O180" s="17">
        <f t="shared" si="85"/>
        <v>2329.1008770610347</v>
      </c>
      <c r="P180" s="17">
        <f t="shared" si="85"/>
        <v>2336.8507037146715</v>
      </c>
      <c r="Q180" s="17">
        <f t="shared" si="85"/>
        <v>2344.7338972941088</v>
      </c>
      <c r="R180" s="17">
        <f t="shared" si="85"/>
        <v>0</v>
      </c>
      <c r="S180" s="17">
        <f t="shared" si="85"/>
        <v>0</v>
      </c>
      <c r="T180" s="17">
        <f t="shared" si="85"/>
        <v>0</v>
      </c>
      <c r="U180" s="17">
        <f t="shared" si="85"/>
        <v>0</v>
      </c>
      <c r="V180" s="17">
        <f t="shared" si="85"/>
        <v>0</v>
      </c>
      <c r="W180" s="17">
        <f t="shared" si="85"/>
        <v>0</v>
      </c>
      <c r="X180" s="17">
        <f t="shared" si="85"/>
        <v>0</v>
      </c>
      <c r="Y180" s="17">
        <f t="shared" si="85"/>
        <v>0</v>
      </c>
      <c r="Z180" s="17">
        <f t="shared" si="85"/>
        <v>0</v>
      </c>
      <c r="AA180" s="17">
        <f t="shared" si="85"/>
        <v>0</v>
      </c>
      <c r="AB180" s="17">
        <f t="shared" si="85"/>
        <v>0</v>
      </c>
      <c r="AC180" s="17"/>
      <c r="AD180" s="17">
        <f t="shared" si="74"/>
        <v>33852.13697179802</v>
      </c>
    </row>
    <row r="181" spans="1:30" x14ac:dyDescent="0.25">
      <c r="A181" t="s">
        <v>40</v>
      </c>
      <c r="B181" s="9">
        <f t="shared" ref="B181:AB181" si="86">B165+B170-B177+B179</f>
        <v>0</v>
      </c>
      <c r="C181" s="9">
        <f>C165+C170-C177+C179</f>
        <v>180.99270459128542</v>
      </c>
      <c r="D181" s="9">
        <f t="shared" si="86"/>
        <v>186.55321987759606</v>
      </c>
      <c r="E181" s="9">
        <f t="shared" si="86"/>
        <v>192.06942118463908</v>
      </c>
      <c r="F181" s="9">
        <f t="shared" si="86"/>
        <v>197.46170720833354</v>
      </c>
      <c r="G181" s="9">
        <f t="shared" si="86"/>
        <v>203.3364563860398</v>
      </c>
      <c r="H181" s="9">
        <f t="shared" si="86"/>
        <v>209.54980079786517</v>
      </c>
      <c r="I181" s="9">
        <f t="shared" si="86"/>
        <v>309.82729872740833</v>
      </c>
      <c r="J181" s="9">
        <f t="shared" si="86"/>
        <v>316.83506695571083</v>
      </c>
      <c r="K181" s="9">
        <f t="shared" si="86"/>
        <v>323.95985665322843</v>
      </c>
      <c r="L181" s="9">
        <f t="shared" si="86"/>
        <v>331.20426041212625</v>
      </c>
      <c r="M181" s="9">
        <f t="shared" si="86"/>
        <v>338.57092207157291</v>
      </c>
      <c r="N181" s="9">
        <f t="shared" si="86"/>
        <v>346.06253776183689</v>
      </c>
      <c r="O181" s="9">
        <f t="shared" si="86"/>
        <v>353.68185696932073</v>
      </c>
      <c r="P181" s="9">
        <f t="shared" si="86"/>
        <v>361.43168362295728</v>
      </c>
      <c r="Q181" s="9">
        <f t="shared" si="86"/>
        <v>369.31487720239522</v>
      </c>
      <c r="R181" s="9">
        <f t="shared" si="86"/>
        <v>0</v>
      </c>
      <c r="S181" s="9">
        <f t="shared" si="86"/>
        <v>0</v>
      </c>
      <c r="T181" s="9">
        <f t="shared" si="86"/>
        <v>0</v>
      </c>
      <c r="U181" s="9">
        <f t="shared" si="86"/>
        <v>0</v>
      </c>
      <c r="V181" s="9">
        <f t="shared" si="86"/>
        <v>0</v>
      </c>
      <c r="W181" s="9">
        <f t="shared" si="86"/>
        <v>0</v>
      </c>
      <c r="X181" s="9">
        <f t="shared" si="86"/>
        <v>0</v>
      </c>
      <c r="Y181" s="9">
        <f t="shared" si="86"/>
        <v>0</v>
      </c>
      <c r="Z181" s="9">
        <f t="shared" si="86"/>
        <v>0</v>
      </c>
      <c r="AA181" s="9">
        <f t="shared" si="86"/>
        <v>0</v>
      </c>
      <c r="AB181" s="9">
        <f t="shared" si="86"/>
        <v>0</v>
      </c>
      <c r="AC181" s="9"/>
      <c r="AD181" s="9"/>
    </row>
    <row r="182" spans="1:30" x14ac:dyDescent="0.25">
      <c r="A182" s="3" t="s">
        <v>87</v>
      </c>
      <c r="B182" s="17">
        <f>IFERROR(B$42-B180,"")</f>
        <v>0</v>
      </c>
      <c r="C182" s="17">
        <f>IFERROR(C$42-C180,"")</f>
        <v>-519.06115289475406</v>
      </c>
      <c r="D182" s="17">
        <f t="shared" ref="D182:AB182" si="87">IFERROR(D$42-D180,"")</f>
        <v>-543.65985427436181</v>
      </c>
      <c r="E182" s="17">
        <f t="shared" si="87"/>
        <v>-557.19655806062383</v>
      </c>
      <c r="F182" s="17">
        <f t="shared" si="87"/>
        <v>-550.90993790772654</v>
      </c>
      <c r="G182" s="17">
        <f t="shared" si="87"/>
        <v>-512.85420287031366</v>
      </c>
      <c r="H182" s="17">
        <f t="shared" si="87"/>
        <v>-482.7769612669731</v>
      </c>
      <c r="I182" s="17">
        <f t="shared" si="87"/>
        <v>-559.71314089452517</v>
      </c>
      <c r="J182" s="17">
        <f t="shared" si="87"/>
        <v>-542.91276445479684</v>
      </c>
      <c r="K182" s="17">
        <f t="shared" si="87"/>
        <v>-525.75324659092303</v>
      </c>
      <c r="L182" s="17">
        <f t="shared" si="87"/>
        <v>-508.22765663720156</v>
      </c>
      <c r="M182" s="17">
        <f t="shared" si="87"/>
        <v>-490.32892470977708</v>
      </c>
      <c r="N182" s="17">
        <f t="shared" si="87"/>
        <v>-472.04983894143174</v>
      </c>
      <c r="O182" s="17">
        <f t="shared" si="87"/>
        <v>-453.38304266113482</v>
      </c>
      <c r="P182" s="17">
        <f t="shared" si="87"/>
        <v>-434.32103151723504</v>
      </c>
      <c r="Q182" s="17">
        <f t="shared" si="87"/>
        <v>-414.85615054318487</v>
      </c>
      <c r="R182" s="17">
        <f t="shared" si="87"/>
        <v>0</v>
      </c>
      <c r="S182" s="17">
        <f t="shared" si="87"/>
        <v>0</v>
      </c>
      <c r="T182" s="17">
        <f t="shared" si="87"/>
        <v>0</v>
      </c>
      <c r="U182" s="17">
        <f t="shared" si="87"/>
        <v>0</v>
      </c>
      <c r="V182" s="17">
        <f t="shared" si="87"/>
        <v>0</v>
      </c>
      <c r="W182" s="17">
        <f t="shared" si="87"/>
        <v>0</v>
      </c>
      <c r="X182" s="17">
        <f t="shared" si="87"/>
        <v>0</v>
      </c>
      <c r="Y182" s="17">
        <f t="shared" si="87"/>
        <v>0</v>
      </c>
      <c r="Z182" s="17">
        <f t="shared" si="87"/>
        <v>0</v>
      </c>
      <c r="AA182" s="17">
        <f t="shared" si="87"/>
        <v>0</v>
      </c>
      <c r="AB182" s="17">
        <f t="shared" si="87"/>
        <v>0</v>
      </c>
      <c r="AC182" s="17"/>
      <c r="AD182" s="17">
        <f t="shared" ref="AD182" si="88">SUM(B182:AB182)</f>
        <v>-7568.0044642249632</v>
      </c>
    </row>
  </sheetData>
  <mergeCells count="11">
    <mergeCell ref="C12:C13"/>
    <mergeCell ref="E12:E13"/>
    <mergeCell ref="F12:F13"/>
    <mergeCell ref="G12:G13"/>
    <mergeCell ref="Q2:Q3"/>
    <mergeCell ref="D12:D13"/>
    <mergeCell ref="O2:O3"/>
    <mergeCell ref="L2:L3"/>
    <mergeCell ref="P2:P3"/>
    <mergeCell ref="M2:M3"/>
    <mergeCell ref="N2:N3"/>
  </mergeCells>
  <dataValidations count="1">
    <dataValidation type="list" allowBlank="1" showInputMessage="1" showErrorMessage="1" sqref="E26 F27" xr:uid="{00920094-00B8-44CF-9D5A-000600C20087}">
      <formula1>$AI$12:$AI$13</formula1>
    </dataValidation>
  </dataValidations>
  <pageMargins left="0.7" right="0.7" top="0.75" bottom="0.75" header="0.3" footer="0.3"/>
  <pageSetup paperSize="9" firstPageNumber="4294967295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Prijzen!$B$38:$B$41</xm:f>
          </x14:formula1>
          <xm:sqref>C8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04"/>
  <sheetViews>
    <sheetView zoomScale="120" zoomScaleNormal="120" workbookViewId="0">
      <selection activeCell="B24" sqref="B24"/>
    </sheetView>
  </sheetViews>
  <sheetFormatPr defaultColWidth="8.85546875" defaultRowHeight="15" x14ac:dyDescent="0.25"/>
  <cols>
    <col min="1" max="1" width="53" customWidth="1"/>
    <col min="2" max="2" width="12.85546875" customWidth="1"/>
    <col min="3" max="3" width="10.7109375" customWidth="1"/>
    <col min="4" max="5" width="11.140625" customWidth="1"/>
    <col min="6" max="6" width="11.28515625" customWidth="1"/>
    <col min="7" max="7" width="11.140625" customWidth="1"/>
    <col min="8" max="8" width="3.42578125" customWidth="1"/>
    <col min="9" max="10" width="10" customWidth="1"/>
    <col min="12" max="12" width="11.140625" bestFit="1" customWidth="1"/>
    <col min="13" max="13" width="10.28515625" bestFit="1" customWidth="1"/>
  </cols>
  <sheetData>
    <row r="1" spans="1:14" x14ac:dyDescent="0.25">
      <c r="A1" t="s">
        <v>90</v>
      </c>
      <c r="B1" t="s">
        <v>91</v>
      </c>
    </row>
    <row r="2" spans="1:14" x14ac:dyDescent="0.25">
      <c r="A2" t="s">
        <v>92</v>
      </c>
      <c r="B2" t="s">
        <v>93</v>
      </c>
      <c r="I2" t="s">
        <v>94</v>
      </c>
      <c r="M2" s="31">
        <v>1</v>
      </c>
    </row>
    <row r="3" spans="1:14" x14ac:dyDescent="0.25">
      <c r="A3" t="s">
        <v>95</v>
      </c>
      <c r="B3" t="s">
        <v>96</v>
      </c>
    </row>
    <row r="4" spans="1:14" ht="45" x14ac:dyDescent="0.25">
      <c r="A4" s="5" t="s">
        <v>97</v>
      </c>
      <c r="B4" s="5" t="s">
        <v>98</v>
      </c>
      <c r="C4" s="5" t="s">
        <v>99</v>
      </c>
      <c r="D4" s="5" t="s">
        <v>100</v>
      </c>
      <c r="E4" s="5" t="s">
        <v>87</v>
      </c>
      <c r="F4" s="5" t="s">
        <v>101</v>
      </c>
      <c r="G4" s="5" t="s">
        <v>102</v>
      </c>
      <c r="I4" s="5" t="s">
        <v>103</v>
      </c>
      <c r="J4" s="5" t="s">
        <v>104</v>
      </c>
    </row>
    <row r="5" spans="1:14" x14ac:dyDescent="0.25">
      <c r="A5" t="s">
        <v>105</v>
      </c>
      <c r="B5" s="32"/>
      <c r="C5" s="33"/>
      <c r="D5" s="32"/>
      <c r="E5" s="34"/>
      <c r="F5" s="33"/>
      <c r="G5" s="9">
        <f t="shared" ref="G5:G15" si="0">IF(F5="",0,D5*(15/$F5))</f>
        <v>0</v>
      </c>
      <c r="I5" s="9">
        <f t="shared" ref="I5:I15" si="1">D5*$M$2</f>
        <v>0</v>
      </c>
      <c r="J5" s="9">
        <f t="shared" ref="J5:J15" si="2">G5*$M$2</f>
        <v>0</v>
      </c>
    </row>
    <row r="6" spans="1:14" x14ac:dyDescent="0.25">
      <c r="A6" t="s">
        <v>106</v>
      </c>
      <c r="B6" s="32"/>
      <c r="C6" s="33"/>
      <c r="D6" s="32"/>
      <c r="E6" s="34"/>
      <c r="F6" s="33"/>
      <c r="G6" s="9">
        <f t="shared" si="0"/>
        <v>0</v>
      </c>
      <c r="I6" s="9">
        <f t="shared" si="1"/>
        <v>0</v>
      </c>
      <c r="J6" s="9">
        <f t="shared" si="2"/>
        <v>0</v>
      </c>
      <c r="L6" s="169" t="s">
        <v>107</v>
      </c>
      <c r="M6" s="170"/>
      <c r="N6" s="170"/>
    </row>
    <row r="7" spans="1:14" x14ac:dyDescent="0.25">
      <c r="A7" t="s">
        <v>108</v>
      </c>
      <c r="B7" s="32"/>
      <c r="C7" s="33"/>
      <c r="D7" s="32"/>
      <c r="E7" s="34"/>
      <c r="F7" s="33"/>
      <c r="G7" s="9">
        <f t="shared" si="0"/>
        <v>0</v>
      </c>
      <c r="I7" s="9">
        <f t="shared" si="1"/>
        <v>0</v>
      </c>
      <c r="J7" s="9">
        <f t="shared" si="2"/>
        <v>0</v>
      </c>
      <c r="L7" s="170"/>
      <c r="M7" s="170"/>
      <c r="N7" s="170"/>
    </row>
    <row r="8" spans="1:14" x14ac:dyDescent="0.25">
      <c r="A8" t="s">
        <v>109</v>
      </c>
      <c r="B8" s="32">
        <v>2450</v>
      </c>
      <c r="C8" s="32">
        <v>770</v>
      </c>
      <c r="D8" s="32">
        <v>1680</v>
      </c>
      <c r="E8" s="34">
        <v>8.4000000000000005E-2</v>
      </c>
      <c r="F8" s="33">
        <v>20</v>
      </c>
      <c r="G8" s="9">
        <f t="shared" si="0"/>
        <v>1260</v>
      </c>
      <c r="I8" s="9">
        <f t="shared" si="1"/>
        <v>1680</v>
      </c>
      <c r="J8" s="9">
        <f t="shared" si="2"/>
        <v>1260</v>
      </c>
      <c r="L8" s="170"/>
      <c r="M8" s="170"/>
      <c r="N8" s="170"/>
    </row>
    <row r="9" spans="1:14" x14ac:dyDescent="0.25">
      <c r="A9" t="s">
        <v>110</v>
      </c>
      <c r="B9" s="32"/>
      <c r="C9" s="33"/>
      <c r="D9" s="32"/>
      <c r="E9" s="34"/>
      <c r="F9" s="33"/>
      <c r="G9" s="9">
        <f t="shared" si="0"/>
        <v>0</v>
      </c>
      <c r="I9" s="9">
        <f t="shared" si="1"/>
        <v>0</v>
      </c>
      <c r="J9" s="9">
        <f t="shared" si="2"/>
        <v>0</v>
      </c>
      <c r="L9" s="170"/>
      <c r="M9" s="170"/>
      <c r="N9" s="170"/>
    </row>
    <row r="10" spans="1:14" x14ac:dyDescent="0.25">
      <c r="A10" t="s">
        <v>111</v>
      </c>
      <c r="B10" s="32"/>
      <c r="C10" s="33"/>
      <c r="D10" s="32"/>
      <c r="E10" s="34"/>
      <c r="F10" s="33"/>
      <c r="G10" s="9">
        <f t="shared" si="0"/>
        <v>0</v>
      </c>
      <c r="I10" s="9">
        <f t="shared" si="1"/>
        <v>0</v>
      </c>
      <c r="J10" s="9">
        <f t="shared" si="2"/>
        <v>0</v>
      </c>
      <c r="L10" s="170"/>
      <c r="M10" s="170"/>
      <c r="N10" s="170"/>
    </row>
    <row r="11" spans="1:14" x14ac:dyDescent="0.25">
      <c r="A11" t="s">
        <v>112</v>
      </c>
      <c r="B11" s="32">
        <v>2250</v>
      </c>
      <c r="C11" s="33"/>
      <c r="D11" s="32">
        <v>2250</v>
      </c>
      <c r="E11" s="34">
        <v>6.7199999999999996E-2</v>
      </c>
      <c r="F11" s="33">
        <v>20</v>
      </c>
      <c r="G11" s="9">
        <f t="shared" si="0"/>
        <v>1687.5</v>
      </c>
      <c r="I11" s="9">
        <f t="shared" si="1"/>
        <v>2250</v>
      </c>
      <c r="J11" s="9">
        <f t="shared" si="2"/>
        <v>1687.5</v>
      </c>
      <c r="L11" s="170"/>
      <c r="M11" s="170"/>
      <c r="N11" s="170"/>
    </row>
    <row r="12" spans="1:14" x14ac:dyDescent="0.25">
      <c r="A12" t="s">
        <v>113</v>
      </c>
      <c r="B12" s="32"/>
      <c r="C12" s="33"/>
      <c r="D12" s="32"/>
      <c r="E12" s="34"/>
      <c r="F12" s="33"/>
      <c r="G12" s="9">
        <f t="shared" si="0"/>
        <v>0</v>
      </c>
      <c r="I12" s="9">
        <f t="shared" si="1"/>
        <v>0</v>
      </c>
      <c r="J12" s="9">
        <f t="shared" si="2"/>
        <v>0</v>
      </c>
      <c r="L12" s="170"/>
      <c r="M12" s="170"/>
      <c r="N12" s="170"/>
    </row>
    <row r="13" spans="1:14" x14ac:dyDescent="0.25">
      <c r="A13" t="s">
        <v>114</v>
      </c>
      <c r="B13" s="32">
        <v>3500</v>
      </c>
      <c r="C13" s="33"/>
      <c r="D13" s="32">
        <v>3500</v>
      </c>
      <c r="E13" s="34">
        <v>3.3599999999999998E-2</v>
      </c>
      <c r="F13" s="33">
        <v>20</v>
      </c>
      <c r="G13" s="9">
        <f t="shared" si="0"/>
        <v>2625</v>
      </c>
      <c r="I13" s="9">
        <f t="shared" si="1"/>
        <v>3500</v>
      </c>
      <c r="J13" s="9">
        <f t="shared" si="2"/>
        <v>2625</v>
      </c>
      <c r="L13" s="170"/>
      <c r="M13" s="170"/>
      <c r="N13" s="170"/>
    </row>
    <row r="14" spans="1:14" x14ac:dyDescent="0.25">
      <c r="A14" t="s">
        <v>115</v>
      </c>
      <c r="B14" s="32"/>
      <c r="C14" s="33"/>
      <c r="D14" s="32"/>
      <c r="E14" s="34"/>
      <c r="F14" s="33"/>
      <c r="G14" s="9">
        <f t="shared" si="0"/>
        <v>0</v>
      </c>
      <c r="I14" s="9">
        <f t="shared" si="1"/>
        <v>0</v>
      </c>
      <c r="J14" s="9">
        <f t="shared" si="2"/>
        <v>0</v>
      </c>
    </row>
    <row r="15" spans="1:14" x14ac:dyDescent="0.25">
      <c r="A15" t="s">
        <v>116</v>
      </c>
      <c r="B15" s="32">
        <v>389</v>
      </c>
      <c r="C15" s="33"/>
      <c r="D15" s="32">
        <v>389</v>
      </c>
      <c r="E15" s="34"/>
      <c r="F15" s="33">
        <v>20</v>
      </c>
      <c r="G15" s="9">
        <f t="shared" si="0"/>
        <v>291.75</v>
      </c>
      <c r="I15" s="9">
        <f t="shared" si="1"/>
        <v>389</v>
      </c>
      <c r="J15" s="9">
        <f t="shared" si="2"/>
        <v>291.75</v>
      </c>
    </row>
    <row r="16" spans="1:14" x14ac:dyDescent="0.25">
      <c r="A16" s="3" t="s">
        <v>36</v>
      </c>
      <c r="B16" s="17">
        <f>SUM(B5:B15)</f>
        <v>8589</v>
      </c>
      <c r="C16" s="17">
        <f>SUM(C5:C15)</f>
        <v>770</v>
      </c>
      <c r="D16" s="17">
        <f>SUM(D5:D15)</f>
        <v>7819</v>
      </c>
      <c r="E16" s="35">
        <f>SUM(E5:E15)</f>
        <v>0.18479999999999999</v>
      </c>
      <c r="F16" s="3"/>
      <c r="G16" s="17">
        <f>SUM(G5:G15)</f>
        <v>5864.25</v>
      </c>
      <c r="I16" s="17">
        <f>SUM(I5:I15)</f>
        <v>7819</v>
      </c>
      <c r="J16" s="17">
        <f>SUM(J5:J15)</f>
        <v>5864.25</v>
      </c>
    </row>
    <row r="18" spans="1:14" x14ac:dyDescent="0.25">
      <c r="A18" s="67" t="s">
        <v>313</v>
      </c>
    </row>
    <row r="19" spans="1:14" x14ac:dyDescent="0.25">
      <c r="A19" s="36" t="s">
        <v>117</v>
      </c>
      <c r="B19" t="s">
        <v>118</v>
      </c>
      <c r="C19" s="37">
        <f>(('Business case'!C1-200)*(1-E16)/2800*33/18*9)*'Business case'!C22</f>
        <v>26.421214285714285</v>
      </c>
      <c r="E19" s="13" t="s">
        <v>119</v>
      </c>
      <c r="F19" s="38">
        <f>C19/'Business case'!C14</f>
        <v>6.6053035714285713</v>
      </c>
    </row>
    <row r="20" spans="1:14" x14ac:dyDescent="0.25">
      <c r="A20" s="68" t="s">
        <v>315</v>
      </c>
      <c r="C20" s="25">
        <f>Investering!C19*1000/Kengetallen!$B$24</f>
        <v>587.13809523809527</v>
      </c>
      <c r="D20" t="s">
        <v>121</v>
      </c>
    </row>
    <row r="21" spans="1:14" ht="45" x14ac:dyDescent="0.25">
      <c r="A21" s="5" t="s">
        <v>97</v>
      </c>
      <c r="B21" s="5" t="s">
        <v>98</v>
      </c>
      <c r="C21" s="5" t="s">
        <v>99</v>
      </c>
      <c r="D21" s="5" t="s">
        <v>100</v>
      </c>
      <c r="E21" s="5" t="s">
        <v>87</v>
      </c>
      <c r="F21" s="5" t="s">
        <v>101</v>
      </c>
      <c r="G21" s="5" t="s">
        <v>102</v>
      </c>
      <c r="I21" s="5" t="s">
        <v>103</v>
      </c>
      <c r="J21" s="5" t="s">
        <v>104</v>
      </c>
      <c r="L21" s="39"/>
      <c r="N21" s="40"/>
    </row>
    <row r="22" spans="1:14" x14ac:dyDescent="0.25">
      <c r="A22" s="36" t="s">
        <v>122</v>
      </c>
      <c r="B22" s="9">
        <f>C20*Kengetallen!B37*(1-(VLOOKUP(ROUND('Business case'!C24,0),Kengetallen!$B$26:$C$28,2,TRUE)+VLOOKUP('Business case'!C22,Kengetallen!$B$32:$D$36,3,TRUE)))/'Business case'!C22</f>
        <v>1717.3789285714288</v>
      </c>
      <c r="C22" s="37"/>
      <c r="D22" s="9">
        <f t="shared" ref="D22:D25" si="3">B22-C22</f>
        <v>1717.3789285714288</v>
      </c>
      <c r="E22" s="38"/>
      <c r="F22">
        <v>30</v>
      </c>
      <c r="G22" s="9">
        <f t="shared" ref="G22:G25" si="4">D22/F22*15</f>
        <v>858.68946428571439</v>
      </c>
      <c r="I22" s="9">
        <f t="shared" ref="I22:I25" si="5">D22*$M$2</f>
        <v>1717.3789285714288</v>
      </c>
      <c r="J22" s="9">
        <f t="shared" ref="J22:J25" si="6">G22*$M$2</f>
        <v>858.68946428571439</v>
      </c>
    </row>
    <row r="23" spans="1:14" x14ac:dyDescent="0.25">
      <c r="A23" s="36" t="s">
        <v>123</v>
      </c>
      <c r="B23" s="9">
        <f>'Business case'!C25*Kengetallen!B47</f>
        <v>1415.6999999999998</v>
      </c>
      <c r="C23" s="30"/>
      <c r="D23" s="9">
        <f t="shared" si="3"/>
        <v>1415.6999999999998</v>
      </c>
      <c r="E23" s="38"/>
      <c r="F23">
        <v>30</v>
      </c>
      <c r="G23" s="9">
        <f t="shared" si="4"/>
        <v>707.84999999999991</v>
      </c>
      <c r="I23" s="9">
        <f t="shared" si="5"/>
        <v>1415.6999999999998</v>
      </c>
      <c r="J23" s="9">
        <f t="shared" si="6"/>
        <v>707.84999999999991</v>
      </c>
      <c r="N23" s="40"/>
    </row>
    <row r="24" spans="1:14" x14ac:dyDescent="0.25">
      <c r="A24" s="36" t="s">
        <v>124</v>
      </c>
      <c r="B24" s="9">
        <f>VLOOKUP(C19,Kengetallen!$B$50:$E$54,4,TRUE)*(1)/'Business case'!C22</f>
        <v>5759.5999999999995</v>
      </c>
      <c r="C24" s="30">
        <f>Kengetallen!B59/'Business case'!C22</f>
        <v>640</v>
      </c>
      <c r="D24" s="9">
        <f>B24-C24</f>
        <v>5119.5999999999995</v>
      </c>
      <c r="E24" s="38"/>
      <c r="F24">
        <v>15</v>
      </c>
      <c r="G24" s="9">
        <f t="shared" si="4"/>
        <v>5119.5999999999995</v>
      </c>
      <c r="I24" s="9">
        <f>D24*$M$2</f>
        <v>5119.5999999999995</v>
      </c>
      <c r="J24" s="9">
        <f t="shared" si="6"/>
        <v>5119.5999999999995</v>
      </c>
      <c r="N24" s="40"/>
    </row>
    <row r="25" spans="1:14" x14ac:dyDescent="0.25">
      <c r="A25" s="36" t="s">
        <v>47</v>
      </c>
      <c r="B25" s="9" cm="1">
        <f t="array" ref="B25">SUM(B22:B24*'Business case'!$C$21)</f>
        <v>889.26789285714278</v>
      </c>
      <c r="C25" s="30"/>
      <c r="D25" s="9">
        <f t="shared" si="3"/>
        <v>889.26789285714278</v>
      </c>
      <c r="E25" s="38"/>
      <c r="F25">
        <v>15</v>
      </c>
      <c r="G25" s="9">
        <f t="shared" si="4"/>
        <v>889.26789285714278</v>
      </c>
      <c r="I25" s="9">
        <f t="shared" si="5"/>
        <v>889.26789285714278</v>
      </c>
      <c r="J25" s="9">
        <f t="shared" si="6"/>
        <v>889.26789285714278</v>
      </c>
      <c r="N25" s="40"/>
    </row>
    <row r="26" spans="1:14" x14ac:dyDescent="0.25">
      <c r="A26" s="41" t="s">
        <v>125</v>
      </c>
      <c r="B26" s="17">
        <f>SUM(B22:B25)</f>
        <v>9781.9468214285698</v>
      </c>
      <c r="C26" s="17">
        <f>SUM(C22:C25)</f>
        <v>640</v>
      </c>
      <c r="D26" s="17">
        <f>SUM(D22:D25)</f>
        <v>9141.9468214285698</v>
      </c>
      <c r="E26" s="42">
        <v>1</v>
      </c>
      <c r="F26" s="43">
        <f>SUMPRODUCT(F22:F25,G22:G25)/G26</f>
        <v>18.101891536186411</v>
      </c>
      <c r="G26" s="17">
        <f>SUM(G22:G25)</f>
        <v>7575.4073571428571</v>
      </c>
      <c r="I26" s="17">
        <f>SUM(I22:I25)</f>
        <v>9141.9468214285698</v>
      </c>
      <c r="J26" s="17">
        <f>SUM(J22:J25)</f>
        <v>7575.4073571428571</v>
      </c>
      <c r="L26" s="9"/>
    </row>
    <row r="28" spans="1:14" x14ac:dyDescent="0.25">
      <c r="A28" s="3" t="s">
        <v>126</v>
      </c>
      <c r="B28" s="17">
        <f>B16+B26</f>
        <v>18370.94682142857</v>
      </c>
      <c r="C28" s="17">
        <f>C16+C26</f>
        <v>1410</v>
      </c>
      <c r="D28" s="17">
        <f>D16+D26</f>
        <v>16960.94682142857</v>
      </c>
      <c r="E28" s="42">
        <f>1-(1-E16)*(1-E26)</f>
        <v>1</v>
      </c>
      <c r="F28" s="44">
        <f>(F16*G16+F26*G26)/G28</f>
        <v>10.203325775158074</v>
      </c>
      <c r="G28" s="45">
        <f>G16+G26</f>
        <v>13439.657357142856</v>
      </c>
      <c r="I28" s="45">
        <f>I16+I26</f>
        <v>16960.94682142857</v>
      </c>
      <c r="J28" s="45">
        <f>J16+J26</f>
        <v>13439.657357142856</v>
      </c>
      <c r="L28" s="10"/>
    </row>
    <row r="30" spans="1:14" x14ac:dyDescent="0.25">
      <c r="A30" t="s">
        <v>127</v>
      </c>
      <c r="B30" s="9">
        <f>'Business case'!C19*'Business case'!C20</f>
        <v>1379.4712500000001</v>
      </c>
      <c r="D30" s="9">
        <f>B30</f>
        <v>1379.4712500000001</v>
      </c>
      <c r="F30">
        <v>15</v>
      </c>
      <c r="G30" s="9">
        <f>D30/F30*15</f>
        <v>1379.4712500000001</v>
      </c>
      <c r="I30" s="9">
        <f>D30*$M$2</f>
        <v>1379.4712500000001</v>
      </c>
      <c r="J30" s="9">
        <f>G30*$M$2</f>
        <v>1379.4712500000001</v>
      </c>
    </row>
    <row r="32" spans="1:14" x14ac:dyDescent="0.25">
      <c r="A32" s="3" t="s">
        <v>128</v>
      </c>
      <c r="B32" s="17">
        <f>B28+B30</f>
        <v>19750.418071428569</v>
      </c>
      <c r="C32" s="17">
        <f>C28+C30</f>
        <v>1410</v>
      </c>
      <c r="D32" s="17">
        <f>D28+D30</f>
        <v>18340.418071428569</v>
      </c>
      <c r="E32" s="35">
        <f>E28+E30</f>
        <v>1</v>
      </c>
      <c r="F32" s="44">
        <f>(F28*G28+F30*G30)/G32</f>
        <v>10.64983476797403</v>
      </c>
      <c r="G32" s="45">
        <f>G28+G30</f>
        <v>14819.128607142857</v>
      </c>
      <c r="I32" s="45">
        <f>I28+I30</f>
        <v>18340.418071428569</v>
      </c>
      <c r="J32" s="45">
        <f>J28+J30</f>
        <v>14819.128607142857</v>
      </c>
    </row>
    <row r="33" spans="1:14" x14ac:dyDescent="0.25">
      <c r="A33" t="s">
        <v>129</v>
      </c>
      <c r="B33" s="9">
        <f>SUMIF($F$5:$F$15,15,B5:B15)+SUMIF($F$22:$F$25,15,B22:B25)+SUMIF($F$30,15,B30)</f>
        <v>8028.3391428571431</v>
      </c>
      <c r="C33" s="9">
        <f>SUMIF($F$5:$F$15,15,C5:C15)+SUMIF($F$22:$F$25,15,C22:C25)+SUMIF($F$30,15,C30)</f>
        <v>640</v>
      </c>
      <c r="D33" s="9">
        <f>SUMIF($F$5:$F$15,15,D5:D15)+SUMIF($F$22:$F$25,15,D22:D25)+SUMIF($F$30,15,D30)</f>
        <v>7388.3391428571431</v>
      </c>
      <c r="E33" s="9"/>
      <c r="F33" s="9"/>
      <c r="G33" s="9">
        <f>SUMIF($F$5:$F$15,15,G5:G15)+SUMIF($F$22:$F$25,15,G22:G25)+SUMIF($F$30,15,G30)</f>
        <v>7388.3391428571431</v>
      </c>
      <c r="H33" s="9"/>
      <c r="I33" s="9">
        <f>SUMIF($F$5:$F$15,15,I5:I15)+SUMIF($F$22:$F$25,15,I22:I25)+SUMIF($F$30,15,I30)</f>
        <v>7388.3391428571431</v>
      </c>
      <c r="J33" s="9">
        <f t="shared" ref="J33" si="7">SUMIF($F$5:$F$15,15,J5:J15)+SUMIF($F$22:$F$25,15,J22:J25)+SUMIF($F$30,15,J30)</f>
        <v>7388.3391428571431</v>
      </c>
    </row>
    <row r="34" spans="1:14" x14ac:dyDescent="0.25">
      <c r="A34" t="s">
        <v>130</v>
      </c>
      <c r="B34" s="9">
        <f>SUMIF($F$5:$F$15,"&gt;20",B5:B15)+SUMIF($F$22:$F$25,"&gt;15",B22:B25)+SUMIF($F$30,"&gt;15",B30)</f>
        <v>3133.0789285714286</v>
      </c>
      <c r="C34" s="9">
        <f>SUMIF($F$5:$F$15,"&gt;20",C5:C15)+SUMIF($F$22:$F$25,"&gt;15",C22:C25)+SUMIF($F$30,"&gt;15",C30)</f>
        <v>0</v>
      </c>
      <c r="D34" s="9">
        <f>SUMIF($F$5:$F$15,"&gt;20",D5:D15)+SUMIF($F$22:$F$25,"&gt;15",D22:D25)+SUMIF($F$30,"&gt;15",D30)</f>
        <v>3133.0789285714286</v>
      </c>
      <c r="E34" s="9"/>
      <c r="F34" s="9"/>
      <c r="G34" s="9">
        <f>SUMIF($F$5:$F$15,"&gt;20",G5:G15)+SUMIF($F$22:$F$25,"&gt;15",G22:G25)+SUMIF($F$30,"&gt;15",G30)</f>
        <v>1566.5394642857143</v>
      </c>
      <c r="H34" s="9"/>
      <c r="I34" s="9">
        <f>SUMIF($F$5:$F$15,"&gt;20",I5:I15)+SUMIF($F$22:$F$25,"&gt;15",I22:I25)+SUMIF($F$30,"&gt;15",I30)</f>
        <v>3133.0789285714286</v>
      </c>
      <c r="J34" s="9">
        <f>SUMIF($F$5:$F$15,"&gt;20",J5:J15)+SUMIF($F$22:$F$25,"&gt;15",J22:J25)+SUMIF($F$30,"&gt;15",J30)</f>
        <v>1566.5394642857143</v>
      </c>
    </row>
    <row r="36" spans="1:14" x14ac:dyDescent="0.25">
      <c r="A36" s="67" t="s">
        <v>312</v>
      </c>
    </row>
    <row r="37" spans="1:14" x14ac:dyDescent="0.25">
      <c r="A37" s="36" t="s">
        <v>117</v>
      </c>
      <c r="B37" t="s">
        <v>118</v>
      </c>
      <c r="C37" s="37">
        <f>('Business case'!$C$1-200)*(1-$E$16)/2800*33/18*9</f>
        <v>2.6421214285714285</v>
      </c>
      <c r="E37" s="13" t="s">
        <v>119</v>
      </c>
      <c r="F37" s="38">
        <f>C37/'Business case'!D14</f>
        <v>0.66053035714285713</v>
      </c>
    </row>
    <row r="38" spans="1:14" x14ac:dyDescent="0.25">
      <c r="A38" t="s">
        <v>120</v>
      </c>
      <c r="C38" s="25">
        <f>Investering!C37*1000/Kengetallen!$B$24</f>
        <v>58.713809523809523</v>
      </c>
      <c r="D38" t="s">
        <v>121</v>
      </c>
    </row>
    <row r="39" spans="1:14" ht="45" x14ac:dyDescent="0.25">
      <c r="A39" s="5" t="s">
        <v>97</v>
      </c>
      <c r="B39" s="5" t="s">
        <v>98</v>
      </c>
      <c r="C39" s="5" t="s">
        <v>99</v>
      </c>
      <c r="D39" s="5" t="s">
        <v>100</v>
      </c>
      <c r="E39" s="5" t="s">
        <v>87</v>
      </c>
      <c r="F39" s="5" t="s">
        <v>101</v>
      </c>
      <c r="G39" s="5" t="s">
        <v>102</v>
      </c>
      <c r="I39" s="5" t="s">
        <v>103</v>
      </c>
      <c r="J39" s="5" t="s">
        <v>104</v>
      </c>
      <c r="L39" s="39"/>
      <c r="N39" s="40"/>
    </row>
    <row r="40" spans="1:14" x14ac:dyDescent="0.25">
      <c r="A40" s="36" t="s">
        <v>122</v>
      </c>
      <c r="B40" s="9">
        <f>C38*Kengetallen!B37*(1-(VLOOKUP(ROUND('Business case'!D24,0),Kengetallen!$B$26:$C$28,2,TRUE)+VLOOKUP('Business case'!D22,Kengetallen!$B$32:$D$36,3,TRUE)))</f>
        <v>1717.3789285714286</v>
      </c>
      <c r="C40" s="37"/>
      <c r="D40" s="9">
        <f t="shared" ref="D40:D43" si="8">B40-C40</f>
        <v>1717.3789285714286</v>
      </c>
      <c r="E40" s="38"/>
      <c r="F40">
        <v>30</v>
      </c>
      <c r="G40" s="9">
        <f t="shared" ref="G40:G43" si="9">D40/F40*15</f>
        <v>858.68946428571428</v>
      </c>
      <c r="I40" s="9">
        <f t="shared" ref="I40:I43" si="10">D40*$M$2</f>
        <v>1717.3789285714286</v>
      </c>
      <c r="J40" s="9">
        <f t="shared" ref="J40:J43" si="11">G40*$M$2</f>
        <v>858.68946428571428</v>
      </c>
    </row>
    <row r="41" spans="1:14" x14ac:dyDescent="0.25">
      <c r="A41" s="36" t="s">
        <v>123</v>
      </c>
      <c r="B41" s="9">
        <f>'Business case'!D25*Kengetallen!B47</f>
        <v>1415.6999999999998</v>
      </c>
      <c r="C41" s="30"/>
      <c r="D41" s="9">
        <f t="shared" si="8"/>
        <v>1415.6999999999998</v>
      </c>
      <c r="E41" s="38"/>
      <c r="F41">
        <v>30</v>
      </c>
      <c r="G41" s="9">
        <f t="shared" si="9"/>
        <v>707.84999999999991</v>
      </c>
      <c r="I41" s="9">
        <f t="shared" si="10"/>
        <v>1415.6999999999998</v>
      </c>
      <c r="J41" s="9">
        <f t="shared" si="11"/>
        <v>707.84999999999991</v>
      </c>
      <c r="N41" s="40"/>
    </row>
    <row r="42" spans="1:14" x14ac:dyDescent="0.25">
      <c r="A42" s="36" t="s">
        <v>124</v>
      </c>
      <c r="B42" s="9">
        <f>VLOOKUP(C37,Kengetallen!$B$50:$E$53,4,TRUE)*(1-Kengetallen!B48)</f>
        <v>10190.1723</v>
      </c>
      <c r="C42" s="30">
        <f>Kengetallen!B58</f>
        <v>4200</v>
      </c>
      <c r="D42" s="9">
        <f t="shared" si="8"/>
        <v>5990.1723000000002</v>
      </c>
      <c r="E42" s="38"/>
      <c r="F42">
        <v>15</v>
      </c>
      <c r="G42" s="9">
        <f t="shared" si="9"/>
        <v>5990.1723000000002</v>
      </c>
      <c r="I42" s="9">
        <f t="shared" si="10"/>
        <v>5990.1723000000002</v>
      </c>
      <c r="J42" s="9">
        <f t="shared" si="11"/>
        <v>5990.1723000000002</v>
      </c>
      <c r="N42" s="40"/>
    </row>
    <row r="43" spans="1:14" x14ac:dyDescent="0.25">
      <c r="A43" s="36" t="s">
        <v>47</v>
      </c>
      <c r="B43" s="9" cm="1">
        <f t="array" ref="B43">SUM(B40:B42*'Business case'!$D$21)</f>
        <v>1332.325122857143</v>
      </c>
      <c r="C43" s="30"/>
      <c r="D43" s="9">
        <f t="shared" si="8"/>
        <v>1332.325122857143</v>
      </c>
      <c r="E43" s="38"/>
      <c r="F43">
        <v>15</v>
      </c>
      <c r="G43" s="9">
        <f t="shared" si="9"/>
        <v>1332.325122857143</v>
      </c>
      <c r="I43" s="9">
        <f t="shared" si="10"/>
        <v>1332.325122857143</v>
      </c>
      <c r="J43" s="9">
        <f t="shared" si="11"/>
        <v>1332.325122857143</v>
      </c>
      <c r="N43" s="40"/>
    </row>
    <row r="44" spans="1:14" x14ac:dyDescent="0.25">
      <c r="A44" s="41" t="s">
        <v>125</v>
      </c>
      <c r="B44" s="17">
        <f>SUM(B40:B43)</f>
        <v>14655.576351428572</v>
      </c>
      <c r="C44" s="17">
        <f>SUM(C40:C43)</f>
        <v>4200</v>
      </c>
      <c r="D44" s="17">
        <f>SUM(D40:D43)</f>
        <v>10455.576351428572</v>
      </c>
      <c r="E44" s="42">
        <v>1</v>
      </c>
      <c r="F44" s="43">
        <f>SUMPRODUCT(F40:F43,G40:G43)/G44</f>
        <v>17.643491332370715</v>
      </c>
      <c r="G44" s="17">
        <f>SUM(G40:G43)</f>
        <v>8889.0368871428564</v>
      </c>
      <c r="I44" s="17">
        <f>SUM(I40:I43)</f>
        <v>10455.576351428572</v>
      </c>
      <c r="J44" s="17">
        <f>SUM(J40:J43)</f>
        <v>8889.0368871428564</v>
      </c>
      <c r="L44" s="9"/>
    </row>
    <row r="46" spans="1:14" x14ac:dyDescent="0.25">
      <c r="A46" s="3" t="s">
        <v>126</v>
      </c>
      <c r="B46" s="17">
        <f>B16+B44</f>
        <v>23244.576351428572</v>
      </c>
      <c r="C46" s="17">
        <f>C16+C44</f>
        <v>4970</v>
      </c>
      <c r="D46" s="17">
        <f>D16+D44</f>
        <v>18274.576351428572</v>
      </c>
      <c r="E46" s="42">
        <f>1-(1-E34)*(1-E44)</f>
        <v>1</v>
      </c>
      <c r="F46" s="44">
        <f>(F34*G34+F44*G44)/G46</f>
        <v>10.630420629053543</v>
      </c>
      <c r="G46" s="45">
        <f>G16+G44</f>
        <v>14753.286887142856</v>
      </c>
      <c r="I46" s="45">
        <f>I16+I44</f>
        <v>18274.576351428572</v>
      </c>
      <c r="J46" s="45">
        <f>J16+J44</f>
        <v>14753.286887142856</v>
      </c>
      <c r="L46" s="10"/>
    </row>
    <row r="48" spans="1:14" x14ac:dyDescent="0.25">
      <c r="A48" t="s">
        <v>127</v>
      </c>
      <c r="B48" s="9">
        <f>'Business case'!D19*'Business case'!D20</f>
        <v>1379.4712500000001</v>
      </c>
      <c r="D48" s="9">
        <f>B48</f>
        <v>1379.4712500000001</v>
      </c>
      <c r="F48">
        <v>15</v>
      </c>
      <c r="G48" s="9">
        <f>D48/F48*15</f>
        <v>1379.4712500000001</v>
      </c>
      <c r="I48" s="9">
        <f>D48*$M$2</f>
        <v>1379.4712500000001</v>
      </c>
      <c r="J48" s="9">
        <f>G48*$M$2</f>
        <v>1379.4712500000001</v>
      </c>
    </row>
    <row r="50" spans="1:19" x14ac:dyDescent="0.25">
      <c r="A50" s="3" t="s">
        <v>128</v>
      </c>
      <c r="B50" s="17">
        <f>B46+B48</f>
        <v>24624.04760142857</v>
      </c>
      <c r="C50" s="17">
        <f>C46+C48</f>
        <v>4970</v>
      </c>
      <c r="D50" s="17">
        <f>D46+D48</f>
        <v>19654.04760142857</v>
      </c>
      <c r="E50" s="35">
        <f>E46+E48</f>
        <v>1</v>
      </c>
      <c r="F50" s="44">
        <f>(F46*G46+F48*G48)/G50</f>
        <v>11.004052283701359</v>
      </c>
      <c r="G50" s="45">
        <f>G46+G48</f>
        <v>16132.758137142857</v>
      </c>
      <c r="I50" s="45">
        <f>I46+I48</f>
        <v>19654.04760142857</v>
      </c>
      <c r="J50" s="45">
        <f>J46+J48</f>
        <v>16132.758137142857</v>
      </c>
    </row>
    <row r="51" spans="1:19" x14ac:dyDescent="0.25">
      <c r="A51" t="s">
        <v>129</v>
      </c>
      <c r="B51" s="9">
        <f>SUMIF($F$5:$F$15,15,B5:B15)+SUMIF($F$40:$F$43,15,B40:B43)+SUMIF($F$48,15,B48)</f>
        <v>12901.968672857143</v>
      </c>
      <c r="C51" s="9">
        <f>SUMIF($F$5:$F$15,15,C5:C15)+SUMIF($F$40:$F$43,15,C40:C43)+SUMIF($F$48,15,C48)</f>
        <v>4200</v>
      </c>
      <c r="D51" s="9">
        <f>SUMIF($F$5:$F$15,15,D5:D15)+SUMIF($F$40:$F$43,15,D40:D43)+SUMIF($F$48,15,D48)</f>
        <v>8701.9686728571432</v>
      </c>
      <c r="E51" s="9"/>
      <c r="F51" s="9"/>
      <c r="G51" s="9">
        <f>SUMIF($F$5:$F$15,15,G5:G15)+SUMIF($F$40:$F$43,15,G40:G43)+SUMIF($F$48,15,G48)</f>
        <v>8701.9686728571432</v>
      </c>
      <c r="H51" s="9"/>
      <c r="I51" s="9">
        <f>SUMIF($F$5:$F$15,15,I5:I15)+SUMIF($F$40:$F$43,15,I40:I43)+SUMIF($F$48,15,I48)</f>
        <v>8701.9686728571432</v>
      </c>
      <c r="J51" s="9">
        <f>SUMIF($F$5:$F$15,15,J5:J15)+SUMIF($F$40:$F$43,15,J40:J43)+SUMIF($F$48,15,J48)</f>
        <v>8701.9686728571432</v>
      </c>
    </row>
    <row r="52" spans="1:19" x14ac:dyDescent="0.25">
      <c r="A52" t="s">
        <v>130</v>
      </c>
      <c r="B52" s="9">
        <f>SUMIF($F$5:$F$15,"&gt;20",B5:B15)+SUMIF($F$40:$F$43,"&gt;15",B40:B43)+SUMIF($F$48,"&gt;15",B48)</f>
        <v>3133.0789285714282</v>
      </c>
      <c r="C52" s="9">
        <f>SUMIF($F$5:$F$15,"&gt;20",C5:C15)+SUMIF($F$40:$F$43,"&gt;15",C40:C43)+SUMIF($F$48,"&gt;15",C48)</f>
        <v>0</v>
      </c>
      <c r="D52" s="9">
        <f>SUMIF($F$5:$F$15,"&gt;20",D23:D33)+SUMIF($F$22:$F$25,"&gt;15",D40:D43)+SUMIF($F$30,"&gt;15",D48)</f>
        <v>3133.0789285714282</v>
      </c>
      <c r="E52" s="9"/>
      <c r="F52" s="9"/>
      <c r="G52" s="9">
        <f>SUMIF($F$5:$F$15,"&gt;20",G5:G15)+SUMIF($F$40:$F$43,"&gt;15",G40:G43)+SUMIF($F$48,"&gt;15",G48)</f>
        <v>1566.5394642857141</v>
      </c>
      <c r="H52" s="9"/>
      <c r="I52" s="9">
        <f>SUMIF($F$5:$F$15,"&gt;20",I5:I15)+SUMIF($F$40:$F$43,"&gt;15",I40:I43)+SUMIF($F$48,"&gt;15",I48)</f>
        <v>3133.0789285714282</v>
      </c>
      <c r="J52" s="9">
        <f>SUMIF($F$5:$F$15,"&gt;20",J5:J15)+SUMIF($F$40:$F$43,"&gt;15",J40:J43)+SUMIF($F$48,"&gt;15",J48)</f>
        <v>1566.5394642857141</v>
      </c>
    </row>
    <row r="53" spans="1:19" x14ac:dyDescent="0.25">
      <c r="B53" s="9"/>
      <c r="C53" s="9"/>
      <c r="D53" s="9"/>
      <c r="E53" s="9"/>
      <c r="F53" s="9"/>
      <c r="G53" s="9"/>
      <c r="H53" s="9"/>
      <c r="I53" s="9"/>
      <c r="J53" s="9"/>
    </row>
    <row r="54" spans="1:19" x14ac:dyDescent="0.25">
      <c r="A54" s="67" t="s">
        <v>131</v>
      </c>
    </row>
    <row r="55" spans="1:19" x14ac:dyDescent="0.25">
      <c r="A55" s="36" t="s">
        <v>117</v>
      </c>
      <c r="B55" t="s">
        <v>118</v>
      </c>
      <c r="C55" s="37">
        <f>('Business case'!$C$1-200)*(1-$E$16)/2800*33/18*9</f>
        <v>2.6421214285714285</v>
      </c>
      <c r="D55" s="13" t="s">
        <v>119</v>
      </c>
      <c r="E55" s="38">
        <f>C55/'Business case'!E14</f>
        <v>0.66053035714285713</v>
      </c>
      <c r="M55" s="10"/>
      <c r="P55" s="46"/>
      <c r="S55" s="47"/>
    </row>
    <row r="56" spans="1:19" x14ac:dyDescent="0.25">
      <c r="A56" t="s">
        <v>120</v>
      </c>
      <c r="C56" s="25">
        <f>Investering!C55*1000/Kengetallen!B23*(IF('Business case'!E26="J",1+VLOOKUP('Business case'!C22,Kengetallen!$B$41:$D$44,3,TRUE),1))</f>
        <v>83.038102040816327</v>
      </c>
      <c r="D56" t="s">
        <v>121</v>
      </c>
      <c r="M56" s="10"/>
      <c r="P56" s="46"/>
    </row>
    <row r="57" spans="1:19" ht="45" x14ac:dyDescent="0.25">
      <c r="A57" s="5" t="s">
        <v>97</v>
      </c>
      <c r="B57" s="5" t="s">
        <v>98</v>
      </c>
      <c r="C57" s="5" t="s">
        <v>99</v>
      </c>
      <c r="D57" s="5" t="s">
        <v>100</v>
      </c>
      <c r="E57" s="5" t="s">
        <v>87</v>
      </c>
      <c r="F57" s="5" t="s">
        <v>101</v>
      </c>
      <c r="G57" s="5" t="s">
        <v>102</v>
      </c>
      <c r="I57" s="5" t="s">
        <v>103</v>
      </c>
      <c r="J57" s="5" t="s">
        <v>104</v>
      </c>
      <c r="M57" s="9"/>
    </row>
    <row r="58" spans="1:19" x14ac:dyDescent="0.25">
      <c r="A58" s="36" t="s">
        <v>122</v>
      </c>
      <c r="B58" s="9">
        <f>C56*Kengetallen!B37</f>
        <v>3736.7145918367346</v>
      </c>
      <c r="C58" s="37"/>
      <c r="D58" s="9">
        <f t="shared" ref="D58:D61" si="12">B58-C58</f>
        <v>3736.7145918367346</v>
      </c>
      <c r="E58" s="38"/>
      <c r="F58">
        <v>30</v>
      </c>
      <c r="G58" s="9">
        <f t="shared" ref="G58:G61" si="13">D58/F58*15</f>
        <v>1868.3572959183673</v>
      </c>
      <c r="I58" s="9">
        <f t="shared" ref="I58:I61" si="14">D58*$M$2</f>
        <v>3736.7145918367346</v>
      </c>
      <c r="J58" s="9">
        <f t="shared" ref="J58:J61" si="15">G58*$M$2</f>
        <v>1868.3572959183673</v>
      </c>
      <c r="M58" s="10"/>
    </row>
    <row r="59" spans="1:19" x14ac:dyDescent="0.25">
      <c r="A59" s="36" t="s">
        <v>123</v>
      </c>
      <c r="B59" s="9">
        <v>0</v>
      </c>
      <c r="C59" s="30"/>
      <c r="D59" s="9">
        <f t="shared" si="12"/>
        <v>0</v>
      </c>
      <c r="E59" s="38"/>
      <c r="F59">
        <v>30</v>
      </c>
      <c r="G59" s="9">
        <f t="shared" si="13"/>
        <v>0</v>
      </c>
      <c r="I59" s="9">
        <f t="shared" si="14"/>
        <v>0</v>
      </c>
      <c r="J59" s="9">
        <f t="shared" si="15"/>
        <v>0</v>
      </c>
      <c r="M59" s="10"/>
    </row>
    <row r="60" spans="1:19" x14ac:dyDescent="0.25">
      <c r="A60" s="36" t="s">
        <v>124</v>
      </c>
      <c r="B60" s="9">
        <f>VLOOKUP(C55,Kengetallen!$B$50:$E$53,4,TRUE)</f>
        <v>11988.438</v>
      </c>
      <c r="C60" s="30">
        <f>Kengetallen!B58</f>
        <v>4200</v>
      </c>
      <c r="D60" s="9">
        <f t="shared" si="12"/>
        <v>7788.4380000000001</v>
      </c>
      <c r="E60" s="38"/>
      <c r="F60">
        <v>15</v>
      </c>
      <c r="G60" s="9">
        <f t="shared" si="13"/>
        <v>7788.4380000000001</v>
      </c>
      <c r="I60" s="9">
        <f t="shared" si="14"/>
        <v>7788.4380000000001</v>
      </c>
      <c r="J60" s="9">
        <f t="shared" si="15"/>
        <v>7788.4380000000001</v>
      </c>
      <c r="M60" s="10"/>
    </row>
    <row r="61" spans="1:19" x14ac:dyDescent="0.25">
      <c r="A61" s="36" t="s">
        <v>47</v>
      </c>
      <c r="B61" s="9" cm="1">
        <f t="array" ref="B61">SUM(B58:B60*'Business case'!$E$21)</f>
        <v>1572.5152591836736</v>
      </c>
      <c r="C61" s="30"/>
      <c r="D61" s="9">
        <f t="shared" si="12"/>
        <v>1572.5152591836736</v>
      </c>
      <c r="E61" s="38"/>
      <c r="F61">
        <v>15</v>
      </c>
      <c r="G61" s="9">
        <f t="shared" si="13"/>
        <v>1572.5152591836736</v>
      </c>
      <c r="I61" s="9">
        <f t="shared" si="14"/>
        <v>1572.5152591836736</v>
      </c>
      <c r="J61" s="9">
        <f t="shared" si="15"/>
        <v>1572.5152591836736</v>
      </c>
      <c r="M61" s="10"/>
    </row>
    <row r="62" spans="1:19" x14ac:dyDescent="0.25">
      <c r="A62" s="41" t="s">
        <v>125</v>
      </c>
      <c r="B62" s="17">
        <f>SUM(B58:B61)</f>
        <v>17297.667851020407</v>
      </c>
      <c r="C62" s="17">
        <f>SUM(C58:C61)</f>
        <v>4200</v>
      </c>
      <c r="D62" s="17">
        <f>SUM(D58:D61)</f>
        <v>13097.667851020409</v>
      </c>
      <c r="E62" s="42">
        <v>1</v>
      </c>
      <c r="F62" s="43">
        <f>SUMPRODUCT(F58:F61,G58:G61)/G62</f>
        <v>17.49573286812717</v>
      </c>
      <c r="G62" s="17">
        <f>SUM(G58:G61)</f>
        <v>11229.310555102042</v>
      </c>
      <c r="I62" s="17">
        <f>SUM(I58:I61)</f>
        <v>13097.667851020409</v>
      </c>
      <c r="J62" s="17">
        <f>SUM(J58:J61)</f>
        <v>11229.310555102042</v>
      </c>
      <c r="L62" s="10"/>
    </row>
    <row r="64" spans="1:19" x14ac:dyDescent="0.25">
      <c r="A64" s="3" t="s">
        <v>126</v>
      </c>
      <c r="B64" s="17">
        <f>B16+B62</f>
        <v>25886.667851020407</v>
      </c>
      <c r="C64" s="17">
        <f>C16+C62</f>
        <v>4970</v>
      </c>
      <c r="D64" s="17">
        <f>D16+D62</f>
        <v>20916.667851020407</v>
      </c>
      <c r="E64" s="42">
        <f>1-(1-E16)*(1-E62)</f>
        <v>1</v>
      </c>
      <c r="F64" s="44">
        <f>(F16*G16+F62*G62)/G64</f>
        <v>11.493510502507084</v>
      </c>
      <c r="G64" s="17">
        <f>G16+G62</f>
        <v>17093.560555102042</v>
      </c>
      <c r="I64" s="17">
        <f>I16+I62</f>
        <v>20916.667851020407</v>
      </c>
      <c r="J64" s="17">
        <f>J16+J62</f>
        <v>17093.560555102042</v>
      </c>
    </row>
    <row r="66" spans="1:10" x14ac:dyDescent="0.25">
      <c r="A66" t="s">
        <v>127</v>
      </c>
      <c r="B66" s="9">
        <f>'Business case'!E19*'Business case'!E20</f>
        <v>1379.4712500000001</v>
      </c>
      <c r="D66" s="9">
        <f>B66</f>
        <v>1379.4712500000001</v>
      </c>
      <c r="F66">
        <v>15</v>
      </c>
      <c r="G66" s="9">
        <f>D66/F66*15</f>
        <v>1379.4712500000001</v>
      </c>
      <c r="I66" s="9">
        <f>D66*$M$2</f>
        <v>1379.4712500000001</v>
      </c>
      <c r="J66" s="9">
        <f>G66*$M$2</f>
        <v>1379.4712500000001</v>
      </c>
    </row>
    <row r="68" spans="1:10" x14ac:dyDescent="0.25">
      <c r="A68" s="3" t="s">
        <v>128</v>
      </c>
      <c r="B68" s="17">
        <f>B64+B66</f>
        <v>27266.139101020406</v>
      </c>
      <c r="C68" s="17">
        <f>C64+C66</f>
        <v>4970</v>
      </c>
      <c r="D68" s="17">
        <f>D64+D66</f>
        <v>22296.139101020406</v>
      </c>
      <c r="E68" s="35">
        <f>E64+E66</f>
        <v>1</v>
      </c>
      <c r="F68" s="44">
        <f>(F64*G64+F66*G66)/G68</f>
        <v>11.755357150163615</v>
      </c>
      <c r="G68" s="45">
        <f>G64+G66</f>
        <v>18473.03180510204</v>
      </c>
      <c r="I68" s="45">
        <f>I64+I66</f>
        <v>22296.139101020406</v>
      </c>
      <c r="J68" s="45">
        <f>J64+J66</f>
        <v>18473.03180510204</v>
      </c>
    </row>
    <row r="69" spans="1:10" x14ac:dyDescent="0.25">
      <c r="A69" t="s">
        <v>129</v>
      </c>
      <c r="B69" s="9">
        <f>SUMIF($F$5:$F$15,15,B5:B15)+SUMIF($F$58:$F$61,15,B58:B61)+SUMIF($F$66,15,B66)</f>
        <v>14940.424509183675</v>
      </c>
      <c r="C69" s="9">
        <f>SUMIF($F$5:$F$15,15,C5:C15)+SUMIF($F$58:$F$61,15,C58:C61)+SUMIF($F$66,15,C66)</f>
        <v>4200</v>
      </c>
      <c r="D69" s="9">
        <f>SUMIF($F$5:$F$15,15,D5:D15)+SUMIF($F$58:$F$61,15,D58:D61)+SUMIF($F$66,15,D66)</f>
        <v>10740.424509183675</v>
      </c>
      <c r="E69" s="9"/>
      <c r="F69" s="9"/>
      <c r="G69" s="9">
        <f>SUMIF($F$5:$F$15,15,G5:G15)+SUMIF($F$58:$F$61,15,G58:G61)+SUMIF($F$66,15,G66)</f>
        <v>10740.424509183675</v>
      </c>
      <c r="H69" s="9"/>
      <c r="I69" s="9">
        <f>SUMIF($F$5:$F$15,15,I5:I15)+SUMIF($F$58:$F$61,15,I58:I61)+SUMIF($F$66,15,I66)</f>
        <v>10740.424509183675</v>
      </c>
      <c r="J69" s="9">
        <f>SUMIF($F$5:$F$15,15,J5:J15)+SUMIF($F$58:$F$61,15,J58:J61)+SUMIF($F$66,15,J66)</f>
        <v>10740.424509183675</v>
      </c>
    </row>
    <row r="70" spans="1:10" x14ac:dyDescent="0.25">
      <c r="A70" t="s">
        <v>132</v>
      </c>
      <c r="B70" s="9">
        <f>SUMIF($F$5:$F$15,"&gt;15",B5:B15)+SUMIF($F$58:$F$60,"&gt;15",B58:B60)+SUMIF($F$66,"&gt;15",B66)</f>
        <v>12325.714591836735</v>
      </c>
      <c r="C70" s="9">
        <f>SUMIF($F$5:$F$15,"&gt;15",C5:C15)+SUMIF($F$58:$F$60,"&gt;15",C58:C60)+SUMIF($F$66,"&gt;15",C66)</f>
        <v>770</v>
      </c>
      <c r="D70" s="9">
        <f t="shared" ref="D70" si="16">SUMIF($F$5:$F$15,"&gt;15",D5:D15)+SUMIF($F$58:$F$60,"&gt;15",D58:D60)+SUMIF($F$66,"&gt;15",D66)</f>
        <v>11555.714591836735</v>
      </c>
      <c r="E70" s="9"/>
      <c r="F70" s="9"/>
      <c r="G70" s="9">
        <f>SUMIF($F$5:$F$15,"&gt;15",G5:G15)+SUMIF($F$58:$F$60,"&gt;15",G58:G60)+SUMIF($F$66,"&gt;15",G66)</f>
        <v>7732.6072959183675</v>
      </c>
      <c r="H70" s="9"/>
      <c r="I70" s="9">
        <f>SUMIF($F$5:$F$15,"&gt;15",I5:I15)+SUMIF($F$58:$F$60,"&gt;15",I58:I60)+SUMIF($F$66,"&gt;15",I66)</f>
        <v>11555.714591836735</v>
      </c>
      <c r="J70" s="9">
        <f t="shared" ref="J70" si="17">SUMIF($F$5:$F$15,"&gt;15",J5:J15)+SUMIF($F$58:$F$60,"&gt;15",J58:J60)+SUMIF($F$66,"&gt;15",J66)</f>
        <v>7732.6072959183675</v>
      </c>
    </row>
    <row r="72" spans="1:10" x14ac:dyDescent="0.25">
      <c r="A72" s="67" t="s">
        <v>133</v>
      </c>
    </row>
    <row r="73" spans="1:10" x14ac:dyDescent="0.25">
      <c r="A73" s="36" t="s">
        <v>117</v>
      </c>
      <c r="B73" t="s">
        <v>118</v>
      </c>
      <c r="C73" s="37">
        <f>('Business case'!$C$1-200)*(1-$E$16)/2800*33/18*9</f>
        <v>2.6421214285714285</v>
      </c>
      <c r="D73" s="13" t="s">
        <v>119</v>
      </c>
      <c r="E73" s="38">
        <f>C73/'Business case'!F14</f>
        <v>0.75489183673469384</v>
      </c>
    </row>
    <row r="74" spans="1:10" x14ac:dyDescent="0.25">
      <c r="C74" s="25"/>
    </row>
    <row r="75" spans="1:10" ht="45" x14ac:dyDescent="0.25">
      <c r="A75" s="5" t="s">
        <v>97</v>
      </c>
      <c r="B75" s="5" t="s">
        <v>98</v>
      </c>
      <c r="C75" s="5" t="s">
        <v>99</v>
      </c>
      <c r="D75" s="5" t="s">
        <v>100</v>
      </c>
      <c r="E75" s="5" t="s">
        <v>87</v>
      </c>
      <c r="F75" s="5" t="s">
        <v>101</v>
      </c>
      <c r="G75" s="5" t="s">
        <v>102</v>
      </c>
      <c r="I75" s="5" t="s">
        <v>103</v>
      </c>
      <c r="J75" s="5" t="s">
        <v>104</v>
      </c>
    </row>
    <row r="76" spans="1:10" x14ac:dyDescent="0.25">
      <c r="A76" s="36" t="s">
        <v>124</v>
      </c>
      <c r="B76" s="9">
        <f>VLOOKUP(C73,Kengetallen!$B$69:$E$72,4,TRUE)</f>
        <v>9261</v>
      </c>
      <c r="C76" s="30">
        <f>Kengetallen!B74</f>
        <v>2850</v>
      </c>
      <c r="D76" s="9">
        <f t="shared" ref="D76:D77" si="18">B76-C76</f>
        <v>6411</v>
      </c>
      <c r="E76" s="38"/>
      <c r="F76">
        <v>15</v>
      </c>
      <c r="G76" s="9">
        <f t="shared" ref="G76" si="19">D76/F76*15</f>
        <v>6411</v>
      </c>
      <c r="I76" s="9">
        <f t="shared" ref="I76:I78" si="20">D76*$M$2</f>
        <v>6411</v>
      </c>
      <c r="J76" s="9">
        <f t="shared" ref="J76:J78" si="21">G76*$M$2</f>
        <v>6411</v>
      </c>
    </row>
    <row r="77" spans="1:10" x14ac:dyDescent="0.25">
      <c r="A77" s="36" t="s">
        <v>58</v>
      </c>
      <c r="B77" s="9">
        <f>IF('Business case'!F27="J",Kengetallen!B80,0)</f>
        <v>2580</v>
      </c>
      <c r="C77" s="30">
        <v>0</v>
      </c>
      <c r="D77" s="9">
        <f t="shared" si="18"/>
        <v>2580</v>
      </c>
      <c r="E77" s="38"/>
      <c r="F77">
        <v>30</v>
      </c>
      <c r="G77" s="9">
        <f>D77/F77*15</f>
        <v>1290</v>
      </c>
      <c r="I77" s="9">
        <f>D77*$M$2</f>
        <v>2580</v>
      </c>
      <c r="J77" s="9">
        <f>G77*$M$2</f>
        <v>1290</v>
      </c>
    </row>
    <row r="78" spans="1:10" x14ac:dyDescent="0.25">
      <c r="A78" s="36" t="s">
        <v>47</v>
      </c>
      <c r="B78" s="9">
        <f>SUM(B76:B77)*'Business case'!$F$21</f>
        <v>1184.1000000000001</v>
      </c>
      <c r="C78" s="30"/>
      <c r="D78" s="9">
        <f>B78</f>
        <v>1184.1000000000001</v>
      </c>
      <c r="E78" s="38"/>
      <c r="F78">
        <v>15</v>
      </c>
      <c r="G78" s="9">
        <f>D78</f>
        <v>1184.1000000000001</v>
      </c>
      <c r="I78" s="9">
        <f t="shared" si="20"/>
        <v>1184.1000000000001</v>
      </c>
      <c r="J78" s="9">
        <f t="shared" si="21"/>
        <v>1184.1000000000001</v>
      </c>
    </row>
    <row r="79" spans="1:10" x14ac:dyDescent="0.25">
      <c r="A79" s="41" t="s">
        <v>125</v>
      </c>
      <c r="B79" s="17">
        <f>SUM(B76:B78)</f>
        <v>13025.1</v>
      </c>
      <c r="C79" s="17">
        <f>SUM(C76:C78)</f>
        <v>2850</v>
      </c>
      <c r="D79" s="17">
        <f>SUM(D76:D78)</f>
        <v>10175.1</v>
      </c>
      <c r="E79" s="42">
        <v>1</v>
      </c>
      <c r="F79" s="44">
        <f>SUMPRODUCT(F76:F78,G76:G78)/G79</f>
        <v>17.177803288651788</v>
      </c>
      <c r="G79" s="17">
        <f>SUM(G76:G78)</f>
        <v>8885.1</v>
      </c>
      <c r="I79" s="17">
        <f t="shared" ref="I79:J79" si="22">SUM(I76:I78)</f>
        <v>10175.1</v>
      </c>
      <c r="J79" s="17">
        <f t="shared" si="22"/>
        <v>8885.1</v>
      </c>
    </row>
    <row r="81" spans="1:10" x14ac:dyDescent="0.25">
      <c r="A81" s="3" t="s">
        <v>126</v>
      </c>
      <c r="B81" s="17">
        <f>B16+B79</f>
        <v>21614.1</v>
      </c>
      <c r="C81" s="17">
        <f>C16+C79</f>
        <v>3620</v>
      </c>
      <c r="D81" s="17">
        <f>D16+D79</f>
        <v>17994.099999999999</v>
      </c>
      <c r="E81" s="42">
        <f>1-(1-E16)*(1-E79)</f>
        <v>1</v>
      </c>
      <c r="F81" s="44">
        <f>(F16*G16+F79*G79)/G81</f>
        <v>10.348015336269055</v>
      </c>
      <c r="G81" s="17">
        <f>G16+G79</f>
        <v>14749.35</v>
      </c>
      <c r="I81" s="17">
        <f>I16+I79</f>
        <v>17994.099999999999</v>
      </c>
      <c r="J81" s="17">
        <f>J16+J79</f>
        <v>14749.35</v>
      </c>
    </row>
    <row r="83" spans="1:10" x14ac:dyDescent="0.25">
      <c r="A83" t="s">
        <v>127</v>
      </c>
      <c r="B83" s="9">
        <f>'Business case'!F19*'Business case'!F20</f>
        <v>1576.5385714285715</v>
      </c>
      <c r="D83" s="9">
        <f>B83</f>
        <v>1576.5385714285715</v>
      </c>
      <c r="F83">
        <v>15</v>
      </c>
      <c r="G83" s="9">
        <f>D83/F83*15</f>
        <v>1576.5385714285715</v>
      </c>
      <c r="I83" s="9">
        <f>D83*$M$2</f>
        <v>1576.5385714285715</v>
      </c>
      <c r="J83" s="9">
        <f>G83*$M$2</f>
        <v>1576.5385714285715</v>
      </c>
    </row>
    <row r="85" spans="1:10" x14ac:dyDescent="0.25">
      <c r="A85" s="3" t="s">
        <v>128</v>
      </c>
      <c r="B85" s="17">
        <f>B81+B83</f>
        <v>23190.638571428572</v>
      </c>
      <c r="C85" s="17">
        <f>C81+C83</f>
        <v>3620</v>
      </c>
      <c r="D85" s="17">
        <f>D81+D83</f>
        <v>19570.638571428572</v>
      </c>
      <c r="E85" s="35">
        <f>E81+E83</f>
        <v>1</v>
      </c>
      <c r="F85" s="44">
        <f>(F81*G81+F83*G83)/G85</f>
        <v>10.797242539062848</v>
      </c>
      <c r="G85" s="45">
        <f>G81+G83</f>
        <v>16325.888571428572</v>
      </c>
      <c r="I85" s="45">
        <f>I81+I83</f>
        <v>19570.638571428572</v>
      </c>
      <c r="J85" s="45">
        <f>J81+J83</f>
        <v>16325.888571428572</v>
      </c>
    </row>
    <row r="86" spans="1:10" x14ac:dyDescent="0.25">
      <c r="A86" t="s">
        <v>129</v>
      </c>
      <c r="B86" s="9">
        <f>SUMIF($F$5:$F$15,15,B5:B15)+SUMIF($F$76:$F$78,15,B76:B78)+SUMIF($F$83,15,B83)</f>
        <v>12021.638571428572</v>
      </c>
      <c r="C86" s="9">
        <f>SUMIF($F$5:$F$15,15,C5:C15)+SUMIF($F$76:$F$78,15,C76:C78)+SUMIF($F$83,15,C83)</f>
        <v>2850</v>
      </c>
      <c r="D86" s="9">
        <f>SUMIF($F$5:$F$15,15,D5:D15)+SUMIF($F$76:$F$78,15,D76:D78)+SUMIF($F$83,15,D83)</f>
        <v>9171.6385714285716</v>
      </c>
      <c r="E86" s="9"/>
      <c r="F86" s="9"/>
      <c r="G86" s="9">
        <f>SUMIF($F$5:$F$15,15,G5:G15)+SUMIF($F$76:$F$78,15,G76:G78)+SUMIF($F$83,15,G83)</f>
        <v>9171.6385714285716</v>
      </c>
      <c r="H86" s="9"/>
      <c r="I86" s="9">
        <f>SUMIF($F$5:$F$15,15,I5:I15)+SUMIF($F$76:$F$78,15,I76:I78)+SUMIF($F$83,15,I83)</f>
        <v>9171.6385714285716</v>
      </c>
      <c r="J86" s="9">
        <f>SUMIF($F$5:$F$15,15,J5:J15)+SUMIF($F$76:$F$78,15,J76:J78)+SUMIF($F$83,15,J83)</f>
        <v>9171.6385714285716</v>
      </c>
    </row>
    <row r="87" spans="1:10" x14ac:dyDescent="0.25">
      <c r="A87" t="s">
        <v>132</v>
      </c>
      <c r="B87" s="9">
        <f>SUMIF($F$5:$F$15,"&gt;15",B5:B15)+SUMIF($F$76:$F$78,"&gt;15",B76:B78)+SUMIF($F$83,"&gt;15",B83)</f>
        <v>11169</v>
      </c>
      <c r="C87" s="9">
        <f>SUMIF($F$5:$F$15,"&gt;15",C5:C15)+SUMIF($F$76:$F$78,"&gt;15",C76:C78)+SUMIF($F$83,"&gt;15",C83)</f>
        <v>770</v>
      </c>
      <c r="D87" s="9">
        <f>SUMIF($F$5:$F$15,"&gt;15",D5:D15)+SUMIF($F$76:$F$78,"&gt;15",D76:D78)+SUMIF($F$83,"&gt;15",D83)</f>
        <v>10399</v>
      </c>
      <c r="E87" s="9"/>
      <c r="F87" s="9"/>
      <c r="G87" s="9">
        <f>SUMIF($F$5:$F$15,"&gt;15",G5:G15)+SUMIF($F$76:$F$78,"&gt;15",G76:G78)+SUMIF($F$83,"&gt;15",G83)</f>
        <v>7154.25</v>
      </c>
      <c r="H87" s="9"/>
      <c r="I87" s="9">
        <f>SUMIF($F$5:$F$15,"&gt;15",I5:I15)+SUMIF($F$76:$F$78,"&gt;15",I76:I78)+SUMIF($F$83,"&gt;15",I83)</f>
        <v>10399</v>
      </c>
      <c r="J87" s="9">
        <f>SUMIF($F$5:$F$15,"&gt;15",J5:J15)+SUMIF($F$76:$F$78,"&gt;15",J76:J78)+SUMIF($F$83,"&gt;15",J83)</f>
        <v>7154.25</v>
      </c>
    </row>
    <row r="89" spans="1:10" x14ac:dyDescent="0.25">
      <c r="A89" s="67" t="s">
        <v>300</v>
      </c>
    </row>
    <row r="90" spans="1:10" x14ac:dyDescent="0.25">
      <c r="A90" s="36" t="s">
        <v>117</v>
      </c>
      <c r="B90" t="s">
        <v>118</v>
      </c>
      <c r="C90" s="37">
        <f>('Business case'!$C$1-200)*(1-$E$16)/2800*33/18*9</f>
        <v>2.6421214285714285</v>
      </c>
      <c r="D90" s="13" t="s">
        <v>119</v>
      </c>
      <c r="E90" s="38">
        <f>C90/'Business case'!G14</f>
        <v>0.58713809523809524</v>
      </c>
    </row>
    <row r="91" spans="1:10" x14ac:dyDescent="0.25">
      <c r="C91" s="25"/>
    </row>
    <row r="92" spans="1:10" ht="45" x14ac:dyDescent="0.25">
      <c r="A92" s="5" t="s">
        <v>97</v>
      </c>
      <c r="B92" s="5" t="s">
        <v>98</v>
      </c>
      <c r="C92" s="5" t="s">
        <v>99</v>
      </c>
      <c r="D92" s="5" t="s">
        <v>100</v>
      </c>
      <c r="E92" s="5" t="s">
        <v>87</v>
      </c>
      <c r="F92" s="5" t="s">
        <v>101</v>
      </c>
      <c r="G92" s="5" t="s">
        <v>102</v>
      </c>
      <c r="I92" s="5" t="s">
        <v>103</v>
      </c>
      <c r="J92" s="5" t="s">
        <v>104</v>
      </c>
    </row>
    <row r="93" spans="1:10" x14ac:dyDescent="0.25">
      <c r="A93" s="36" t="s">
        <v>124</v>
      </c>
      <c r="B93" s="9">
        <f>VLOOKUP(C90,Kengetallen!$B$50:$E$53,4,TRUE)</f>
        <v>11988.438</v>
      </c>
      <c r="C93" s="30">
        <f>Kengetallen!B58</f>
        <v>4200</v>
      </c>
      <c r="D93" s="9">
        <f t="shared" ref="D93:D95" si="23">B93-C93</f>
        <v>7788.4380000000001</v>
      </c>
      <c r="E93" s="38"/>
      <c r="F93">
        <v>15</v>
      </c>
      <c r="G93" s="9">
        <f>D93/F93*15</f>
        <v>7788.4380000000001</v>
      </c>
      <c r="I93" s="9">
        <f t="shared" ref="I93" si="24">D93*$M$2</f>
        <v>7788.4380000000001</v>
      </c>
      <c r="J93" s="9">
        <f t="shared" ref="J93" si="25">G93*$M$2</f>
        <v>7788.4380000000001</v>
      </c>
    </row>
    <row r="94" spans="1:10" x14ac:dyDescent="0.25">
      <c r="A94" s="36" t="s">
        <v>307</v>
      </c>
      <c r="B94" s="9">
        <f>C90*2*750*1.21</f>
        <v>4795.450392857143</v>
      </c>
      <c r="C94" s="30"/>
      <c r="D94" s="9">
        <f t="shared" ref="D94" si="26">B94-C94</f>
        <v>4795.450392857143</v>
      </c>
      <c r="E94" s="38"/>
      <c r="F94">
        <v>20</v>
      </c>
      <c r="G94" s="9">
        <f>D94/F94*15</f>
        <v>3596.5877946428573</v>
      </c>
      <c r="I94" s="9">
        <f>D94*$M$2</f>
        <v>4795.450392857143</v>
      </c>
      <c r="J94" s="9">
        <f>G94*$M$2</f>
        <v>3596.5877946428573</v>
      </c>
    </row>
    <row r="95" spans="1:10" x14ac:dyDescent="0.25">
      <c r="A95" s="36" t="s">
        <v>47</v>
      </c>
      <c r="B95" s="9" cm="1">
        <f t="array" ref="B95">SUM(B93:B94*'Business case'!$E$21)</f>
        <v>1678.3888392857143</v>
      </c>
      <c r="C95" s="30"/>
      <c r="D95" s="9">
        <f t="shared" si="23"/>
        <v>1678.3888392857143</v>
      </c>
      <c r="E95" s="38"/>
      <c r="F95">
        <v>15</v>
      </c>
      <c r="G95" s="9">
        <f>D95/F95*15</f>
        <v>1678.3888392857143</v>
      </c>
      <c r="I95" s="9">
        <f>D95*$M$2</f>
        <v>1678.3888392857143</v>
      </c>
      <c r="J95" s="9">
        <f>G95*$M$2</f>
        <v>1678.3888392857143</v>
      </c>
    </row>
    <row r="96" spans="1:10" x14ac:dyDescent="0.25">
      <c r="A96" s="41" t="s">
        <v>125</v>
      </c>
      <c r="B96" s="17">
        <f>SUM(B93:B95)</f>
        <v>18462.27723214286</v>
      </c>
      <c r="C96" s="17">
        <f>SUM(C93:C95)</f>
        <v>4200</v>
      </c>
      <c r="D96" s="17">
        <f>SUM(D93:D95)</f>
        <v>14262.277232142857</v>
      </c>
      <c r="E96" s="42">
        <v>1</v>
      </c>
      <c r="F96" s="43">
        <f>SUMPRODUCT(F93:F95,G93:G95)/G96</f>
        <v>16.376587934865714</v>
      </c>
      <c r="G96" s="17">
        <f>SUM(G93:G95)</f>
        <v>13063.414633928573</v>
      </c>
      <c r="I96" s="17">
        <f>SUM(I93:I95)</f>
        <v>14262.277232142857</v>
      </c>
      <c r="J96" s="17">
        <f>SUM(J93:J95)</f>
        <v>13063.414633928573</v>
      </c>
    </row>
    <row r="98" spans="1:10" x14ac:dyDescent="0.25">
      <c r="A98" s="3" t="s">
        <v>126</v>
      </c>
      <c r="B98" s="17">
        <f>B16+B96</f>
        <v>27051.27723214286</v>
      </c>
      <c r="C98" s="17">
        <f>C16+C96</f>
        <v>4970</v>
      </c>
      <c r="D98" s="17">
        <f>D16+D96</f>
        <v>22081.277232142857</v>
      </c>
      <c r="E98" s="42">
        <f>1-(1-E6)*(1-E96)</f>
        <v>1</v>
      </c>
      <c r="F98" s="44">
        <f>(F16*G16+F96*G96)/G98</f>
        <v>11.302723427308491</v>
      </c>
      <c r="G98" s="17">
        <f>G16+G96</f>
        <v>18927.664633928573</v>
      </c>
      <c r="I98" s="17">
        <f>I16+I96</f>
        <v>22081.277232142857</v>
      </c>
      <c r="J98" s="17">
        <f>J16+J96</f>
        <v>18927.664633928573</v>
      </c>
    </row>
    <row r="100" spans="1:10" x14ac:dyDescent="0.25">
      <c r="A100" s="68" t="s">
        <v>127</v>
      </c>
      <c r="B100" s="9">
        <f>'Business case'!G19*'Business case'!G20</f>
        <v>1226.1966666666667</v>
      </c>
      <c r="D100" s="9">
        <f>B100</f>
        <v>1226.1966666666667</v>
      </c>
      <c r="F100">
        <v>15</v>
      </c>
      <c r="G100" s="9">
        <f>D100/F100*15</f>
        <v>1226.1966666666667</v>
      </c>
      <c r="I100" s="9">
        <f>D100*$M$2</f>
        <v>1226.1966666666667</v>
      </c>
      <c r="J100" s="9">
        <f>G100*$M$2</f>
        <v>1226.1966666666667</v>
      </c>
    </row>
    <row r="102" spans="1:10" x14ac:dyDescent="0.25">
      <c r="A102" s="3" t="s">
        <v>128</v>
      </c>
      <c r="B102" s="17">
        <f>B98+B100</f>
        <v>28277.473898809527</v>
      </c>
      <c r="C102" s="17">
        <f>C98+C100</f>
        <v>4970</v>
      </c>
      <c r="D102" s="17">
        <f>D98+D100</f>
        <v>23307.473898809523</v>
      </c>
      <c r="E102" s="35">
        <f>E98+E100</f>
        <v>1</v>
      </c>
      <c r="F102" s="44">
        <f>(F98*G98+F100*G100)/G102</f>
        <v>11.527672291526644</v>
      </c>
      <c r="G102" s="45">
        <f>G98+G100</f>
        <v>20153.861300595239</v>
      </c>
      <c r="I102" s="45">
        <f>I98+I100</f>
        <v>23307.473898809523</v>
      </c>
      <c r="J102" s="45">
        <f>J98+J100</f>
        <v>20153.861300595239</v>
      </c>
    </row>
    <row r="103" spans="1:10" x14ac:dyDescent="0.25">
      <c r="A103" t="s">
        <v>129</v>
      </c>
      <c r="B103" s="9">
        <f>SUMIF($F$5:$F$15,15,B5:B15)+SUMIF($F$93:$F$95,15,B93:B95)+SUMIF($F$100,15,B100)</f>
        <v>14893.02350595238</v>
      </c>
      <c r="C103" s="9">
        <f>SUMIF($F$5:$F$15,15,C5:C15)+SUMIF($F$93:$F$95,15,C93:C95)+SUMIF($F$100,15,C100)</f>
        <v>4200</v>
      </c>
      <c r="D103" s="9">
        <f>SUMIF($F$5:$F$15,15,D5:D15)+SUMIF($F$93:$F$95,15,D93:D95)+SUMIF($F$100,15,D100)</f>
        <v>10693.02350595238</v>
      </c>
      <c r="E103" s="9"/>
      <c r="F103" s="9"/>
      <c r="G103" s="9">
        <f>SUMIF($F$5:$F$15,15,G5:G15)+SUMIF($F$93:$F$95,15,G93:G95)+SUMIF($F$100,15,G100)</f>
        <v>10693.02350595238</v>
      </c>
      <c r="H103" s="9"/>
      <c r="I103" s="9">
        <f>SUMIF($F$5:$F$15,15,I5:I15)+SUMIF($F$93:$F$95,15,I93:I95)+SUMIF($F$100,15,I100)</f>
        <v>10693.02350595238</v>
      </c>
      <c r="J103" s="9">
        <f>SUMIF($F$5:$F$15,15,J5:J15)+SUMIF($F$93:$F$95,15,J93:J95)+SUMIF($F$100,15,J100)</f>
        <v>10693.02350595238</v>
      </c>
    </row>
    <row r="104" spans="1:10" x14ac:dyDescent="0.25">
      <c r="A104" t="s">
        <v>132</v>
      </c>
      <c r="B104" s="9">
        <f>SUMIF($F$5:$F$15,"&gt;15",B5:B15)+SUMIF($F$93:$F$95,"&gt;15",B93:B95)+SUMIF($F$100,"&gt;15",B100)</f>
        <v>13384.450392857143</v>
      </c>
      <c r="C104" s="9">
        <f ca="1">SUMIF($F$5:$F$15,"&gt;15",C5:C15)+SUMIF($F$93:$F$95,"&gt;15",C93:C93)+SUMIF($F$100,"&gt;15",C100)</f>
        <v>770</v>
      </c>
      <c r="D104" s="9">
        <f ca="1">SUMIF($F$5:$F$15,"&gt;15",D5:D15)+SUMIF($F$93:$F$95,"&gt;15",D93:D93)+SUMIF($F$100,"&gt;15",D100)</f>
        <v>12614.450392857143</v>
      </c>
      <c r="E104" s="9"/>
      <c r="F104" s="9"/>
      <c r="G104" s="9">
        <f>SUMIF($F$5:$F$15,"&gt;15",G5:G15)+SUMIF($F$93:$F$95,"&gt;15",G93:G95)+SUMIF($F$100,"&gt;15",G100)</f>
        <v>9460.8377946428573</v>
      </c>
      <c r="H104" s="9"/>
      <c r="I104" s="9">
        <f>SUMIF($F$5:$F$15,"&gt;15",I5:I15)+SUMIF($F$93:$F$95,"&gt;15",I93:I95)+SUMIF($F$100,"&gt;15",I100)</f>
        <v>12614.450392857143</v>
      </c>
      <c r="J104" s="9">
        <f>SUMIF($F$5:$F$15,"&gt;15",J5:J15)+SUMIF($F$93:$F$95,"&gt;15",J93:J95)+SUMIF($F$100,"&gt;15",J100)</f>
        <v>9460.8377946428573</v>
      </c>
    </row>
  </sheetData>
  <mergeCells count="1">
    <mergeCell ref="L6:N13"/>
  </mergeCells>
  <pageMargins left="0.7" right="0.7" top="0.75" bottom="0.75" header="0.3" footer="0.3"/>
  <pageSetup paperSize="9" firstPageNumber="429496729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"/>
  <sheetViews>
    <sheetView workbookViewId="0">
      <selection activeCell="A13" sqref="A13"/>
    </sheetView>
  </sheetViews>
  <sheetFormatPr defaultColWidth="8.85546875" defaultRowHeight="15" x14ac:dyDescent="0.25"/>
  <cols>
    <col min="1" max="1" width="18.42578125" customWidth="1"/>
    <col min="2" max="4" width="10.42578125" bestFit="1" customWidth="1"/>
  </cols>
  <sheetData>
    <row r="1" spans="1:11" x14ac:dyDescent="0.25">
      <c r="A1" t="s">
        <v>134</v>
      </c>
      <c r="B1" s="34">
        <f>36.93%-3%</f>
        <v>0.33930000000000005</v>
      </c>
      <c r="D1" t="s">
        <v>135</v>
      </c>
    </row>
    <row r="3" spans="1:11" x14ac:dyDescent="0.25">
      <c r="A3" s="1" t="s">
        <v>136</v>
      </c>
    </row>
    <row r="4" spans="1:11" x14ac:dyDescent="0.25">
      <c r="B4" t="s">
        <v>137</v>
      </c>
      <c r="C4" t="s">
        <v>138</v>
      </c>
      <c r="D4" t="s">
        <v>139</v>
      </c>
      <c r="E4" t="s">
        <v>140</v>
      </c>
    </row>
    <row r="5" spans="1:11" x14ac:dyDescent="0.25">
      <c r="A5" t="s">
        <v>141</v>
      </c>
      <c r="B5" s="48">
        <v>3.9E-2</v>
      </c>
      <c r="C5" s="48">
        <v>3.95E-2</v>
      </c>
      <c r="D5" s="48">
        <v>4.2999999999999997E-2</v>
      </c>
      <c r="E5" s="48">
        <v>4.3499999999999997E-2</v>
      </c>
    </row>
    <row r="6" spans="1:11" x14ac:dyDescent="0.25">
      <c r="A6" t="s">
        <v>142</v>
      </c>
      <c r="B6" s="49">
        <f>B5*(1-$B$1)</f>
        <v>2.5767299999999996E-2</v>
      </c>
      <c r="C6" s="49">
        <f>C5*(1-$B$1)</f>
        <v>2.609765E-2</v>
      </c>
      <c r="D6" s="49">
        <f>D5*(1-$B$1)</f>
        <v>2.8410099999999997E-2</v>
      </c>
      <c r="E6" s="49">
        <f>E5*(1-$B$1)</f>
        <v>2.8740449999999997E-2</v>
      </c>
    </row>
    <row r="7" spans="1:11" x14ac:dyDescent="0.25">
      <c r="A7" t="s">
        <v>143</v>
      </c>
    </row>
    <row r="9" spans="1:11" x14ac:dyDescent="0.25">
      <c r="A9" s="1" t="s">
        <v>144</v>
      </c>
      <c r="G9" s="1" t="s">
        <v>145</v>
      </c>
    </row>
    <row r="10" spans="1:11" x14ac:dyDescent="0.25">
      <c r="B10" s="167" t="s">
        <v>7</v>
      </c>
      <c r="C10" s="167" t="s">
        <v>8</v>
      </c>
      <c r="D10" s="167" t="s">
        <v>9</v>
      </c>
      <c r="E10" s="167" t="s">
        <v>302</v>
      </c>
      <c r="H10" s="167" t="s">
        <v>7</v>
      </c>
      <c r="I10" s="167" t="s">
        <v>8</v>
      </c>
      <c r="J10" s="167" t="s">
        <v>9</v>
      </c>
      <c r="K10" s="167" t="s">
        <v>302</v>
      </c>
    </row>
    <row r="11" spans="1:11" x14ac:dyDescent="0.25">
      <c r="B11" s="167"/>
      <c r="C11" s="167"/>
      <c r="D11" s="167"/>
      <c r="E11" s="167"/>
      <c r="H11" s="167"/>
      <c r="I11" s="167"/>
      <c r="J11" s="167"/>
      <c r="K11" s="167"/>
    </row>
    <row r="12" spans="1:11" x14ac:dyDescent="0.25">
      <c r="A12" t="s">
        <v>98</v>
      </c>
      <c r="B12" s="9">
        <f>'Business case'!C15</f>
        <v>16960.94682142857</v>
      </c>
      <c r="C12" s="9">
        <f>'Business case'!E15</f>
        <v>20916.667851020407</v>
      </c>
      <c r="D12" s="9">
        <f>'Business case'!F15</f>
        <v>17994.099999999999</v>
      </c>
      <c r="E12" s="9">
        <f>'Business case'!G15</f>
        <v>23307.473898809523</v>
      </c>
      <c r="G12" t="s">
        <v>137</v>
      </c>
      <c r="H12" s="9">
        <f>B14*7</f>
        <v>-18282.459036497115</v>
      </c>
      <c r="I12" s="9">
        <f t="shared" ref="I12" si="0">C14*7</f>
        <v>-22546.390080249523</v>
      </c>
      <c r="J12" s="9">
        <f>D14*7</f>
        <v>-19396.110347625276</v>
      </c>
      <c r="K12" s="9">
        <f>E14*7</f>
        <v>-25123.475787380616</v>
      </c>
    </row>
    <row r="13" spans="1:11" x14ac:dyDescent="0.25">
      <c r="A13" t="s">
        <v>146</v>
      </c>
      <c r="B13" s="9">
        <f>'Business case'!$L$17-'Business case'!P17</f>
        <v>1313.2811928909591</v>
      </c>
      <c r="C13" s="9">
        <f>'Business case'!$L$17-'Business case'!M17</f>
        <v>1313.2811928909587</v>
      </c>
      <c r="D13" s="9">
        <f>'Business case'!$L$17-'Business case'!N17</f>
        <v>1301.1314419886789</v>
      </c>
      <c r="E13" s="9">
        <f>'Business case'!$L$17-'Business case'!O17</f>
        <v>1322.7309991482878</v>
      </c>
      <c r="G13" t="s">
        <v>138</v>
      </c>
      <c r="H13" s="9">
        <f>B15*10</f>
        <v>-18993.754890819389</v>
      </c>
      <c r="I13" s="9">
        <f>C15*10</f>
        <v>-23423.578086633101</v>
      </c>
      <c r="J13" s="9">
        <f>D15*10</f>
        <v>-20150.733828673514</v>
      </c>
      <c r="K13" s="9">
        <f>E15*10</f>
        <v>-26100.927679276319</v>
      </c>
    </row>
    <row r="14" spans="1:11" x14ac:dyDescent="0.25">
      <c r="A14" t="s">
        <v>137</v>
      </c>
      <c r="B14" s="9">
        <f>PMT($B$6,7,B12,0,1)</f>
        <v>-2611.779862356731</v>
      </c>
      <c r="C14" s="9">
        <f t="shared" ref="C14:D14" si="1">PMT($B$6,7,C12,0,1)</f>
        <v>-3220.9128686070749</v>
      </c>
      <c r="D14" s="9">
        <f t="shared" si="1"/>
        <v>-2770.8729068036109</v>
      </c>
      <c r="E14" s="9">
        <f t="shared" ref="E14" si="2">PMT($B$6,7,E12,0,1)</f>
        <v>-3589.0679696258021</v>
      </c>
      <c r="G14" t="s">
        <v>139</v>
      </c>
      <c r="H14" s="9">
        <f>B16*15</f>
        <v>-20485.098342945672</v>
      </c>
      <c r="I14" s="9">
        <f t="shared" ref="I14:J14" si="3">C16*15</f>
        <v>-25262.740485309394</v>
      </c>
      <c r="J14" s="9">
        <f t="shared" si="3"/>
        <v>-21732.920453891955</v>
      </c>
      <c r="K14" s="9">
        <f>E16*15</f>
        <v>-28150.309058190764</v>
      </c>
    </row>
    <row r="15" spans="1:11" x14ac:dyDescent="0.25">
      <c r="A15" t="s">
        <v>138</v>
      </c>
      <c r="B15" s="9">
        <f>PMT($C$6,10,B12,0,1)</f>
        <v>-1899.3754890819389</v>
      </c>
      <c r="C15" s="9">
        <f>PMT($C$6,10,C12,0,1)</f>
        <v>-2342.3578086633102</v>
      </c>
      <c r="D15" s="9">
        <f>PMT($C$6,10,D12,0,1)</f>
        <v>-2015.0733828673515</v>
      </c>
      <c r="E15" s="9">
        <f>PMT($C$6,10,E12,0,1)</f>
        <v>-2610.0927679276319</v>
      </c>
      <c r="G15" t="s">
        <v>140</v>
      </c>
      <c r="H15" s="9">
        <f>B17*20</f>
        <v>-21906.545208713629</v>
      </c>
      <c r="I15" s="9">
        <f t="shared" ref="I15:K15" si="4">C17*20</f>
        <v>-27015.704648936084</v>
      </c>
      <c r="J15" s="9">
        <f t="shared" si="4"/>
        <v>-23240.95283655353</v>
      </c>
      <c r="K15" s="9">
        <f t="shared" si="4"/>
        <v>-30103.63961639841</v>
      </c>
    </row>
    <row r="16" spans="1:11" x14ac:dyDescent="0.25">
      <c r="A16" t="s">
        <v>139</v>
      </c>
      <c r="B16" s="9">
        <f>PMT($D$6,15,B12,0,1)</f>
        <v>-1365.6732228630449</v>
      </c>
      <c r="C16" s="9">
        <f t="shared" ref="C16:D16" si="5">PMT($D$6,15,C12,0,1)</f>
        <v>-1684.1826990206262</v>
      </c>
      <c r="D16" s="9">
        <f t="shared" si="5"/>
        <v>-1448.861363592797</v>
      </c>
      <c r="E16" s="9">
        <f t="shared" ref="E16" si="6">PMT($D$6,15,E12,0,1)</f>
        <v>-1876.687270546051</v>
      </c>
    </row>
    <row r="17" spans="1:5" x14ac:dyDescent="0.25">
      <c r="A17" t="s">
        <v>140</v>
      </c>
      <c r="B17" s="9">
        <f>PMT($E$6,20,B12,0,1)</f>
        <v>-1095.3272604356814</v>
      </c>
      <c r="C17" s="9">
        <f t="shared" ref="C17:D17" si="7">PMT($E$6,20,C12,0,1)</f>
        <v>-1350.7852324468042</v>
      </c>
      <c r="D17" s="9">
        <f t="shared" si="7"/>
        <v>-1162.0476418276764</v>
      </c>
      <c r="E17" s="9">
        <f t="shared" ref="E17" si="8">PMT($E$6,20,E12,0,1)</f>
        <v>-1505.1819808199205</v>
      </c>
    </row>
  </sheetData>
  <mergeCells count="8">
    <mergeCell ref="K10:K11"/>
    <mergeCell ref="J10:J11"/>
    <mergeCell ref="B10:B11"/>
    <mergeCell ref="C10:C11"/>
    <mergeCell ref="D10:D11"/>
    <mergeCell ref="H10:H11"/>
    <mergeCell ref="I10:I11"/>
    <mergeCell ref="E10:E11"/>
  </mergeCells>
  <pageMargins left="0.7" right="0.7" top="0.75" bottom="0.75" header="0.3" footer="0.3"/>
  <pageSetup paperSize="9" firstPageNumber="429496729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93"/>
  <sheetViews>
    <sheetView zoomScale="120" zoomScaleNormal="120" workbookViewId="0"/>
  </sheetViews>
  <sheetFormatPr defaultColWidth="8.85546875" defaultRowHeight="15" x14ac:dyDescent="0.25"/>
  <cols>
    <col min="1" max="1" width="19.7109375" customWidth="1"/>
    <col min="2" max="2" width="9.42578125" bestFit="1" customWidth="1"/>
    <col min="3" max="3" width="9.42578125" hidden="1" customWidth="1"/>
  </cols>
  <sheetData>
    <row r="1" spans="1:28" x14ac:dyDescent="0.25">
      <c r="A1" s="1" t="s">
        <v>147</v>
      </c>
      <c r="P1" s="8"/>
    </row>
    <row r="2" spans="1:28" x14ac:dyDescent="0.25">
      <c r="C2" s="7">
        <v>2023</v>
      </c>
      <c r="D2" s="3">
        <v>2024</v>
      </c>
      <c r="E2" s="3">
        <v>2025</v>
      </c>
      <c r="F2" s="3">
        <v>2026</v>
      </c>
      <c r="G2" s="3">
        <v>2027</v>
      </c>
      <c r="H2" s="3">
        <v>2028</v>
      </c>
      <c r="I2" s="3">
        <v>2029</v>
      </c>
      <c r="J2" s="3">
        <v>2030</v>
      </c>
      <c r="K2" s="3">
        <v>2031</v>
      </c>
      <c r="L2" s="3">
        <v>2032</v>
      </c>
      <c r="M2" s="3">
        <v>2033</v>
      </c>
      <c r="N2" s="3">
        <v>2034</v>
      </c>
      <c r="O2" s="3">
        <v>2035</v>
      </c>
      <c r="P2" s="3">
        <v>2036</v>
      </c>
      <c r="Q2" s="3">
        <v>2037</v>
      </c>
      <c r="R2" s="3">
        <v>2038</v>
      </c>
      <c r="S2" s="3">
        <v>2039</v>
      </c>
      <c r="T2" s="3">
        <v>2040</v>
      </c>
      <c r="V2" s="3" t="s">
        <v>148</v>
      </c>
    </row>
    <row r="3" spans="1:28" x14ac:dyDescent="0.25">
      <c r="A3" t="s">
        <v>149</v>
      </c>
      <c r="B3" t="s">
        <v>150</v>
      </c>
      <c r="C3" s="50">
        <v>0.54585416666666664</v>
      </c>
      <c r="D3" s="24">
        <v>0.42607499999999998</v>
      </c>
      <c r="E3" s="24">
        <v>0.40014000000000005</v>
      </c>
      <c r="F3" s="24">
        <v>0.36556</v>
      </c>
      <c r="G3" s="24">
        <v>0.33839000000000008</v>
      </c>
      <c r="H3" s="24">
        <v>0.32974500000000001</v>
      </c>
      <c r="I3" s="24">
        <v>0.33903837499999995</v>
      </c>
      <c r="J3" s="24">
        <v>0.34799212499999999</v>
      </c>
      <c r="K3" s="24">
        <v>0.34799212499999999</v>
      </c>
      <c r="L3" s="24">
        <v>0.34799212499999999</v>
      </c>
      <c r="M3" s="24">
        <v>0.34799212499999999</v>
      </c>
      <c r="N3" s="24">
        <v>0.34799212499999999</v>
      </c>
      <c r="O3" s="24">
        <v>0.34799212499999999</v>
      </c>
      <c r="P3" s="24">
        <v>0.34799212499999999</v>
      </c>
      <c r="Q3" s="24">
        <v>0.34799212499999999</v>
      </c>
      <c r="R3" s="24">
        <v>0.34799212499999999</v>
      </c>
      <c r="S3" s="24">
        <v>0.34799212499999999</v>
      </c>
      <c r="T3" s="24">
        <v>0.34799212499999999</v>
      </c>
      <c r="U3" s="24"/>
      <c r="V3" t="s">
        <v>151</v>
      </c>
      <c r="W3" s="24"/>
      <c r="X3" s="24"/>
      <c r="Y3" s="24"/>
      <c r="Z3" s="24"/>
      <c r="AA3" s="24"/>
      <c r="AB3" s="24"/>
    </row>
    <row r="4" spans="1:28" x14ac:dyDescent="0.25">
      <c r="A4" s="13" t="s">
        <v>152</v>
      </c>
      <c r="B4" t="s">
        <v>23</v>
      </c>
      <c r="C4" s="50">
        <v>0.43668333333333331</v>
      </c>
      <c r="D4" s="24">
        <v>0.32774999999999999</v>
      </c>
      <c r="E4" s="24">
        <v>0.30780000000000002</v>
      </c>
      <c r="F4" s="24">
        <v>0.28120000000000001</v>
      </c>
      <c r="G4" s="24">
        <v>0.26030000000000003</v>
      </c>
      <c r="H4" s="24">
        <v>0.25364999999999999</v>
      </c>
      <c r="I4" s="24">
        <v>0.26079874999999997</v>
      </c>
      <c r="J4" s="24">
        <v>0.26768624999999996</v>
      </c>
      <c r="K4" s="24">
        <v>0.26768624999999996</v>
      </c>
      <c r="L4" s="24">
        <v>0.26768624999999996</v>
      </c>
      <c r="M4" s="24">
        <v>0.26768624999999996</v>
      </c>
      <c r="N4" s="24">
        <v>0.26768624999999996</v>
      </c>
      <c r="O4" s="24">
        <v>0.26768624999999996</v>
      </c>
      <c r="P4" s="24">
        <v>0.26768624999999996</v>
      </c>
      <c r="Q4" s="24">
        <v>0.26768624999999996</v>
      </c>
      <c r="R4" s="24">
        <v>0.26768624999999996</v>
      </c>
      <c r="S4" s="24">
        <v>0.26768624999999996</v>
      </c>
      <c r="T4" s="24">
        <v>0.26768624999999996</v>
      </c>
      <c r="U4" s="24"/>
      <c r="V4" t="s">
        <v>153</v>
      </c>
      <c r="W4" s="24"/>
      <c r="X4" s="24"/>
      <c r="Y4" s="24"/>
      <c r="Z4" s="24"/>
      <c r="AA4" s="24"/>
      <c r="AB4" s="24"/>
    </row>
    <row r="5" spans="1:28" x14ac:dyDescent="0.25">
      <c r="B5" t="s">
        <v>154</v>
      </c>
      <c r="C5" s="50">
        <v>0.32751249999999998</v>
      </c>
      <c r="D5" s="24">
        <v>0.22942499999999996</v>
      </c>
      <c r="E5" s="24">
        <v>0.21546000000000001</v>
      </c>
      <c r="F5" s="24">
        <v>0.19683999999999999</v>
      </c>
      <c r="G5" s="24">
        <v>0.18221000000000001</v>
      </c>
      <c r="H5" s="24">
        <v>0.17755499999999999</v>
      </c>
      <c r="I5" s="24">
        <v>0.18255912499999996</v>
      </c>
      <c r="J5" s="24">
        <v>0.18738037499999996</v>
      </c>
      <c r="K5" s="24">
        <v>0.18738037499999996</v>
      </c>
      <c r="L5" s="24">
        <v>0.18738037499999996</v>
      </c>
      <c r="M5" s="24">
        <v>0.18738037499999996</v>
      </c>
      <c r="N5" s="24">
        <v>0.18738037499999996</v>
      </c>
      <c r="O5" s="24">
        <v>0.18738037499999996</v>
      </c>
      <c r="P5" s="24">
        <v>0.18738037499999996</v>
      </c>
      <c r="Q5" s="24">
        <v>0.18738037499999996</v>
      </c>
      <c r="R5" s="24">
        <v>0.18738037499999996</v>
      </c>
      <c r="S5" s="24">
        <v>0.18738037499999996</v>
      </c>
      <c r="T5" s="24">
        <v>0.18738037499999996</v>
      </c>
      <c r="U5" s="24"/>
      <c r="V5" t="s">
        <v>155</v>
      </c>
      <c r="W5" s="24"/>
      <c r="X5" s="24"/>
      <c r="Y5" s="24"/>
      <c r="Z5" s="24"/>
      <c r="AA5" s="24"/>
      <c r="AB5" s="24"/>
    </row>
    <row r="6" spans="1:28" x14ac:dyDescent="0.25">
      <c r="C6" s="2"/>
    </row>
    <row r="7" spans="1:28" x14ac:dyDescent="0.25">
      <c r="C7" s="7">
        <v>2023</v>
      </c>
      <c r="D7" s="3">
        <v>2024</v>
      </c>
      <c r="E7" s="3">
        <v>2025</v>
      </c>
      <c r="F7" s="3">
        <v>2026</v>
      </c>
      <c r="G7" s="3">
        <v>2027</v>
      </c>
      <c r="H7" s="3">
        <v>2028</v>
      </c>
      <c r="I7" s="3">
        <v>2029</v>
      </c>
      <c r="J7" s="3">
        <v>2030</v>
      </c>
      <c r="K7" s="3">
        <v>2031</v>
      </c>
      <c r="L7" s="3">
        <v>2032</v>
      </c>
      <c r="M7" s="3">
        <v>2033</v>
      </c>
      <c r="N7" s="3">
        <v>2034</v>
      </c>
      <c r="O7" s="3">
        <v>2035</v>
      </c>
      <c r="P7" s="3">
        <v>2036</v>
      </c>
      <c r="Q7" s="3">
        <v>2037</v>
      </c>
      <c r="R7" s="3">
        <v>2038</v>
      </c>
      <c r="S7" s="3">
        <v>2039</v>
      </c>
      <c r="T7" s="3">
        <v>2040</v>
      </c>
      <c r="V7" s="3" t="s">
        <v>148</v>
      </c>
    </row>
    <row r="8" spans="1:28" x14ac:dyDescent="0.25">
      <c r="A8" t="s">
        <v>156</v>
      </c>
      <c r="B8" t="s">
        <v>150</v>
      </c>
      <c r="C8" s="51">
        <v>154.58333333333334</v>
      </c>
      <c r="D8" s="52">
        <v>124.6</v>
      </c>
      <c r="E8" s="52">
        <v>100.36000000000001</v>
      </c>
      <c r="F8" s="52">
        <v>91.78</v>
      </c>
      <c r="G8" s="52">
        <v>86.970000000000013</v>
      </c>
      <c r="H8" s="52">
        <v>81.82416666666667</v>
      </c>
      <c r="I8" s="52">
        <v>86.697700993510537</v>
      </c>
      <c r="J8" s="52">
        <v>88.987322456775985</v>
      </c>
      <c r="K8" s="24">
        <v>88.987322456775985</v>
      </c>
      <c r="L8" s="24">
        <v>88.987322456775985</v>
      </c>
      <c r="M8" s="24">
        <v>88.987322456775985</v>
      </c>
      <c r="N8" s="24">
        <v>88.987322456775985</v>
      </c>
      <c r="O8" s="24">
        <v>88.987322456775985</v>
      </c>
      <c r="P8" s="24">
        <v>88.987322456775985</v>
      </c>
      <c r="Q8" s="24">
        <v>88.987322456775985</v>
      </c>
      <c r="R8" s="24">
        <v>88.987322456775985</v>
      </c>
      <c r="S8" s="24">
        <v>88.987322456775985</v>
      </c>
      <c r="T8" s="24">
        <v>88.987322456775985</v>
      </c>
      <c r="U8" s="52"/>
      <c r="V8" t="s">
        <v>157</v>
      </c>
      <c r="W8" s="52"/>
      <c r="X8" s="52"/>
      <c r="Y8" s="52"/>
      <c r="Z8" s="52"/>
      <c r="AA8" s="52"/>
      <c r="AB8" s="52"/>
    </row>
    <row r="9" spans="1:28" x14ac:dyDescent="0.25">
      <c r="A9" s="13" t="s">
        <v>158</v>
      </c>
      <c r="B9" t="s">
        <v>23</v>
      </c>
      <c r="C9" s="51">
        <v>123.66666666666667</v>
      </c>
      <c r="D9" s="52">
        <v>89</v>
      </c>
      <c r="E9" s="52">
        <v>77.2</v>
      </c>
      <c r="F9" s="52">
        <v>70.599999999999994</v>
      </c>
      <c r="G9" s="52">
        <v>66.900000000000006</v>
      </c>
      <c r="H9" s="52">
        <v>62.94166666666667</v>
      </c>
      <c r="I9" s="52">
        <v>66.690539225777329</v>
      </c>
      <c r="J9" s="52">
        <v>68.451786505212297</v>
      </c>
      <c r="K9" s="24">
        <v>68.451786505212297</v>
      </c>
      <c r="L9" s="24">
        <v>68.451786505212297</v>
      </c>
      <c r="M9" s="24">
        <v>68.451786505212297</v>
      </c>
      <c r="N9" s="24">
        <v>68.451786505212297</v>
      </c>
      <c r="O9" s="24">
        <v>68.451786505212297</v>
      </c>
      <c r="P9" s="24">
        <v>68.451786505212297</v>
      </c>
      <c r="Q9" s="24">
        <v>68.451786505212297</v>
      </c>
      <c r="R9" s="24">
        <v>68.451786505212297</v>
      </c>
      <c r="S9" s="24">
        <v>68.451786505212297</v>
      </c>
      <c r="T9" s="24">
        <v>68.451786505212297</v>
      </c>
      <c r="U9" s="52"/>
      <c r="V9" t="s">
        <v>159</v>
      </c>
      <c r="W9" s="52"/>
      <c r="X9" s="52"/>
      <c r="Y9" s="52"/>
      <c r="Z9" s="52"/>
      <c r="AA9" s="52"/>
      <c r="AB9" s="52"/>
    </row>
    <row r="10" spans="1:28" x14ac:dyDescent="0.25">
      <c r="B10" t="s">
        <v>154</v>
      </c>
      <c r="C10" s="51">
        <v>92.75</v>
      </c>
      <c r="D10" s="52">
        <v>62.3</v>
      </c>
      <c r="E10" s="52">
        <v>54.04</v>
      </c>
      <c r="F10" s="52">
        <v>49.419999999999995</v>
      </c>
      <c r="G10" s="52">
        <v>46.83</v>
      </c>
      <c r="H10" s="52">
        <v>44.05916666666667</v>
      </c>
      <c r="I10" s="52">
        <v>46.683377458044127</v>
      </c>
      <c r="J10" s="52">
        <v>47.916250553648602</v>
      </c>
      <c r="K10" s="24">
        <v>47.916250553648602</v>
      </c>
      <c r="L10" s="24">
        <v>47.916250553648602</v>
      </c>
      <c r="M10" s="24">
        <v>47.916250553648602</v>
      </c>
      <c r="N10" s="24">
        <v>47.916250553648602</v>
      </c>
      <c r="O10" s="24">
        <v>47.916250553648602</v>
      </c>
      <c r="P10" s="24">
        <v>47.916250553648602</v>
      </c>
      <c r="Q10" s="24">
        <v>47.916250553648602</v>
      </c>
      <c r="R10" s="24">
        <v>47.916250553648602</v>
      </c>
      <c r="S10" s="24">
        <v>47.916250553648602</v>
      </c>
      <c r="T10" s="24">
        <v>47.916250553648602</v>
      </c>
      <c r="U10" s="53"/>
      <c r="V10" t="s">
        <v>160</v>
      </c>
      <c r="W10" s="53"/>
      <c r="X10" s="53"/>
      <c r="Y10" s="53"/>
      <c r="Z10" s="53"/>
      <c r="AA10" s="53"/>
      <c r="AB10" s="53"/>
    </row>
    <row r="11" spans="1:28" x14ac:dyDescent="0.25">
      <c r="C11" s="2"/>
    </row>
    <row r="12" spans="1:28" x14ac:dyDescent="0.25">
      <c r="A12" s="1" t="s">
        <v>161</v>
      </c>
      <c r="C12" s="2"/>
      <c r="V12" s="3" t="s">
        <v>148</v>
      </c>
    </row>
    <row r="13" spans="1:28" x14ac:dyDescent="0.25">
      <c r="A13" s="13" t="s">
        <v>162</v>
      </c>
      <c r="B13" t="s">
        <v>149</v>
      </c>
      <c r="C13" s="50">
        <v>1.6576735053344867</v>
      </c>
      <c r="D13" s="24">
        <v>1.6576735053344867</v>
      </c>
      <c r="E13" s="24">
        <v>1.6576735053344867</v>
      </c>
      <c r="F13" s="24">
        <v>1.6576735053344867</v>
      </c>
      <c r="G13" s="24">
        <v>1.6576735053344867</v>
      </c>
      <c r="H13" s="24">
        <v>1.6576735053344867</v>
      </c>
      <c r="I13" s="24">
        <v>1.6576735053344867</v>
      </c>
      <c r="J13" s="24">
        <v>1.6576735053344867</v>
      </c>
      <c r="K13" s="24">
        <v>1.6576735053344867</v>
      </c>
      <c r="L13" s="24">
        <v>1.6576735053344867</v>
      </c>
      <c r="M13" s="24">
        <v>1.6576735053344867</v>
      </c>
      <c r="N13" s="24">
        <v>1.6576735053344867</v>
      </c>
      <c r="O13" s="24">
        <v>1.6576735053344867</v>
      </c>
      <c r="P13" s="24">
        <v>1.6576735053344867</v>
      </c>
      <c r="Q13" s="24">
        <v>1.6576735053344867</v>
      </c>
      <c r="R13" s="24">
        <v>1.6576735053344867</v>
      </c>
      <c r="S13" s="24">
        <v>1.6576735053344867</v>
      </c>
      <c r="T13" s="24">
        <v>1.6576735053344867</v>
      </c>
      <c r="V13" t="s">
        <v>163</v>
      </c>
    </row>
    <row r="14" spans="1:28" x14ac:dyDescent="0.25">
      <c r="A14" s="13" t="s">
        <v>162</v>
      </c>
      <c r="B14" t="s">
        <v>156</v>
      </c>
      <c r="C14" s="50">
        <v>1.9783724435130701</v>
      </c>
      <c r="D14" s="24">
        <v>1.9783724435130701</v>
      </c>
      <c r="E14" s="24">
        <v>1.9783724435130701</v>
      </c>
      <c r="F14" s="24">
        <v>1.9783724435130701</v>
      </c>
      <c r="G14" s="24">
        <v>1.9783724435130701</v>
      </c>
      <c r="H14" s="24">
        <v>1.9783724435130701</v>
      </c>
      <c r="I14" s="24">
        <v>1.9783724435130701</v>
      </c>
      <c r="J14" s="24">
        <v>1.9783724435130701</v>
      </c>
      <c r="K14" s="24">
        <v>1.9783724435130701</v>
      </c>
      <c r="L14" s="24">
        <v>1.9783724435130701</v>
      </c>
      <c r="M14" s="24">
        <v>1.9783724435130701</v>
      </c>
      <c r="N14" s="24">
        <v>1.9783724435130701</v>
      </c>
      <c r="O14" s="24">
        <v>1.9783724435130701</v>
      </c>
      <c r="P14" s="24">
        <v>1.9783724435130701</v>
      </c>
      <c r="Q14" s="24">
        <v>1.9783724435130701</v>
      </c>
      <c r="R14" s="24">
        <v>1.9783724435130701</v>
      </c>
      <c r="S14" s="24">
        <v>1.9783724435130701</v>
      </c>
      <c r="T14" s="24">
        <v>1.9783724435130701</v>
      </c>
      <c r="V14" t="s">
        <v>163</v>
      </c>
    </row>
    <row r="15" spans="1:28" x14ac:dyDescent="0.25">
      <c r="C15" s="50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spans="1:28" x14ac:dyDescent="0.25">
      <c r="C16" s="7">
        <v>2023</v>
      </c>
      <c r="D16" s="3">
        <v>2024</v>
      </c>
      <c r="E16" s="3">
        <v>2025</v>
      </c>
      <c r="F16" s="3">
        <v>2026</v>
      </c>
      <c r="G16" s="3">
        <v>2027</v>
      </c>
      <c r="H16" s="3">
        <v>2028</v>
      </c>
      <c r="I16" s="3">
        <v>2029</v>
      </c>
      <c r="J16" s="3">
        <v>2030</v>
      </c>
      <c r="K16" s="3">
        <v>2031</v>
      </c>
      <c r="L16" s="3">
        <v>2032</v>
      </c>
      <c r="M16" s="3">
        <v>2033</v>
      </c>
      <c r="N16" s="3">
        <v>2034</v>
      </c>
      <c r="O16" s="3">
        <v>2035</v>
      </c>
      <c r="P16" s="3">
        <v>2036</v>
      </c>
      <c r="Q16" s="3">
        <v>2037</v>
      </c>
      <c r="R16" s="3">
        <v>2038</v>
      </c>
      <c r="S16" s="3">
        <v>2039</v>
      </c>
      <c r="T16" s="3">
        <v>2040</v>
      </c>
      <c r="V16" s="3" t="s">
        <v>148</v>
      </c>
    </row>
    <row r="17" spans="1:22" x14ac:dyDescent="0.25">
      <c r="A17" t="s">
        <v>149</v>
      </c>
      <c r="B17" t="s">
        <v>150</v>
      </c>
      <c r="C17" s="50">
        <v>0.90484798985976844</v>
      </c>
      <c r="D17" s="24">
        <v>0.70629323878539141</v>
      </c>
      <c r="E17" s="24">
        <v>0.66330147642454163</v>
      </c>
      <c r="F17" s="24">
        <v>0.60597912661007491</v>
      </c>
      <c r="G17" s="24">
        <v>0.56094013747013705</v>
      </c>
      <c r="H17" s="24">
        <v>0.54660955001652034</v>
      </c>
      <c r="I17" s="24">
        <v>0.56201493152915805</v>
      </c>
      <c r="J17" s="24">
        <v>0.57685732567754677</v>
      </c>
      <c r="K17" s="24">
        <v>0.57685732567754677</v>
      </c>
      <c r="L17" s="24">
        <v>0.57685732567754677</v>
      </c>
      <c r="M17" s="24">
        <v>0.57685732567754677</v>
      </c>
      <c r="N17" s="24">
        <v>0.57685732567754677</v>
      </c>
      <c r="O17" s="24">
        <v>0.57685732567754677</v>
      </c>
      <c r="P17" s="24">
        <v>0.57685732567754677</v>
      </c>
      <c r="Q17" s="24">
        <v>0.57685732567754677</v>
      </c>
      <c r="R17" s="24">
        <v>0.57685732567754677</v>
      </c>
      <c r="S17" s="24">
        <v>0.57685732567754677</v>
      </c>
      <c r="T17" s="24">
        <v>0.57685732567754677</v>
      </c>
      <c r="V17" t="s">
        <v>164</v>
      </c>
    </row>
    <row r="18" spans="1:22" x14ac:dyDescent="0.25">
      <c r="A18" s="13" t="s">
        <v>152</v>
      </c>
      <c r="B18" t="s">
        <v>23</v>
      </c>
      <c r="C18" s="50">
        <v>0.72387839188781467</v>
      </c>
      <c r="D18" s="24">
        <v>0.54330249137337794</v>
      </c>
      <c r="E18" s="24">
        <v>0.51023190494195503</v>
      </c>
      <c r="F18" s="24">
        <v>0.46613778970005765</v>
      </c>
      <c r="G18" s="24">
        <v>0.43149241343856692</v>
      </c>
      <c r="H18" s="24">
        <v>0.42046888462809251</v>
      </c>
      <c r="I18" s="24">
        <v>0.43231917809935239</v>
      </c>
      <c r="J18" s="24">
        <v>0.44373640436734368</v>
      </c>
      <c r="K18" s="24">
        <v>0.44373640436734368</v>
      </c>
      <c r="L18" s="24">
        <v>0.44373640436734368</v>
      </c>
      <c r="M18" s="24">
        <v>0.44373640436734368</v>
      </c>
      <c r="N18" s="24">
        <v>0.44373640436734368</v>
      </c>
      <c r="O18" s="24">
        <v>0.44373640436734368</v>
      </c>
      <c r="P18" s="24">
        <v>0.44373640436734368</v>
      </c>
      <c r="Q18" s="24">
        <v>0.44373640436734368</v>
      </c>
      <c r="R18" s="24">
        <v>0.44373640436734368</v>
      </c>
      <c r="S18" s="24">
        <v>0.44373640436734368</v>
      </c>
      <c r="T18" s="24">
        <v>0.44373640436734368</v>
      </c>
      <c r="V18" t="s">
        <v>164</v>
      </c>
    </row>
    <row r="19" spans="1:22" x14ac:dyDescent="0.25">
      <c r="B19" t="s">
        <v>154</v>
      </c>
      <c r="C19" s="50">
        <v>0.542908793915861</v>
      </c>
      <c r="D19" s="24">
        <v>0.38031174396136452</v>
      </c>
      <c r="E19" s="24">
        <v>0.35716233345936854</v>
      </c>
      <c r="F19" s="24">
        <v>0.32629645279004033</v>
      </c>
      <c r="G19" s="24">
        <v>0.30204468940699686</v>
      </c>
      <c r="H19" s="24">
        <v>0.29432821923966473</v>
      </c>
      <c r="I19" s="24">
        <v>0.30262342466954667</v>
      </c>
      <c r="J19" s="24">
        <v>0.31061548305714054</v>
      </c>
      <c r="K19" s="24">
        <v>0.31061548305714054</v>
      </c>
      <c r="L19" s="24">
        <v>0.31061548305714054</v>
      </c>
      <c r="M19" s="24">
        <v>0.31061548305714054</v>
      </c>
      <c r="N19" s="24">
        <v>0.31061548305714054</v>
      </c>
      <c r="O19" s="24">
        <v>0.31061548305714054</v>
      </c>
      <c r="P19" s="24">
        <v>0.31061548305714054</v>
      </c>
      <c r="Q19" s="24">
        <v>0.31061548305714054</v>
      </c>
      <c r="R19" s="24">
        <v>0.31061548305714054</v>
      </c>
      <c r="S19" s="24">
        <v>0.31061548305714054</v>
      </c>
      <c r="T19" s="24">
        <v>0.31061548305714054</v>
      </c>
      <c r="V19" t="s">
        <v>164</v>
      </c>
    </row>
    <row r="20" spans="1:22" x14ac:dyDescent="0.25">
      <c r="C20" s="2"/>
    </row>
    <row r="21" spans="1:22" x14ac:dyDescent="0.25">
      <c r="C21" s="7">
        <v>2023</v>
      </c>
      <c r="D21" s="3">
        <v>2024</v>
      </c>
      <c r="E21" s="3">
        <v>2025</v>
      </c>
      <c r="F21" s="3">
        <v>2026</v>
      </c>
      <c r="G21" s="3">
        <v>2027</v>
      </c>
      <c r="H21" s="3">
        <v>2028</v>
      </c>
      <c r="I21" s="3">
        <v>2029</v>
      </c>
      <c r="J21" s="3">
        <v>2030</v>
      </c>
      <c r="K21" s="3">
        <v>2031</v>
      </c>
      <c r="L21" s="3">
        <v>2032</v>
      </c>
      <c r="M21" s="3">
        <v>2033</v>
      </c>
      <c r="N21" s="3">
        <v>2034</v>
      </c>
      <c r="O21" s="3">
        <v>2035</v>
      </c>
      <c r="P21" s="3">
        <v>2036</v>
      </c>
      <c r="Q21" s="3">
        <v>2037</v>
      </c>
      <c r="R21" s="3">
        <v>2038</v>
      </c>
      <c r="S21" s="3">
        <v>2039</v>
      </c>
      <c r="T21" s="3">
        <v>2040</v>
      </c>
      <c r="V21" s="3" t="s">
        <v>148</v>
      </c>
    </row>
    <row r="22" spans="1:22" x14ac:dyDescent="0.25">
      <c r="A22" t="s">
        <v>156</v>
      </c>
      <c r="B22" t="s">
        <v>150</v>
      </c>
      <c r="C22" s="50">
        <v>0.30582340689306209</v>
      </c>
      <c r="D22" s="24">
        <v>0.24650520646172849</v>
      </c>
      <c r="E22" s="24">
        <v>0.19854945843097171</v>
      </c>
      <c r="F22" s="24">
        <v>0.18157502286562957</v>
      </c>
      <c r="G22" s="24">
        <v>0.17205905141233174</v>
      </c>
      <c r="H22" s="24">
        <v>0.16187867654675403</v>
      </c>
      <c r="I22" s="24">
        <v>0.17152034256149695</v>
      </c>
      <c r="J22" s="24">
        <v>0.1760500665704974</v>
      </c>
      <c r="K22" s="24">
        <v>0.1760500665704974</v>
      </c>
      <c r="L22" s="24">
        <v>0.1760500665704974</v>
      </c>
      <c r="M22" s="24">
        <v>0.1760500665704974</v>
      </c>
      <c r="N22" s="24">
        <v>0.1760500665704974</v>
      </c>
      <c r="O22" s="24">
        <v>0.1760500665704974</v>
      </c>
      <c r="P22" s="24">
        <v>0.1760500665704974</v>
      </c>
      <c r="Q22" s="24">
        <v>0.1760500665704974</v>
      </c>
      <c r="R22" s="24">
        <v>0.1760500665704974</v>
      </c>
      <c r="S22" s="24">
        <v>0.1760500665704974</v>
      </c>
      <c r="T22" s="24">
        <v>0.1760500665704974</v>
      </c>
      <c r="V22" t="s">
        <v>164</v>
      </c>
    </row>
    <row r="23" spans="1:22" x14ac:dyDescent="0.25">
      <c r="A23" s="13" t="s">
        <v>165</v>
      </c>
      <c r="B23" t="s">
        <v>23</v>
      </c>
      <c r="C23" s="50">
        <v>0.2446587255144497</v>
      </c>
      <c r="D23" s="24">
        <v>0.17607514747266326</v>
      </c>
      <c r="E23" s="24">
        <v>0.152730352639209</v>
      </c>
      <c r="F23" s="24">
        <v>0.13967309451202276</v>
      </c>
      <c r="G23" s="24">
        <v>0.13235311647102441</v>
      </c>
      <c r="H23" s="24">
        <v>0.12452205888211848</v>
      </c>
      <c r="I23" s="24">
        <v>0.13193872504730536</v>
      </c>
      <c r="J23" s="24">
        <v>0.13542312813115184</v>
      </c>
      <c r="K23" s="24">
        <v>0.13542312813115184</v>
      </c>
      <c r="L23" s="24">
        <v>0.13542312813115184</v>
      </c>
      <c r="M23" s="24">
        <v>0.13542312813115184</v>
      </c>
      <c r="N23" s="24">
        <v>0.13542312813115184</v>
      </c>
      <c r="O23" s="24">
        <v>0.13542312813115184</v>
      </c>
      <c r="P23" s="24">
        <v>0.13542312813115184</v>
      </c>
      <c r="Q23" s="24">
        <v>0.13542312813115184</v>
      </c>
      <c r="R23" s="24">
        <v>0.13542312813115184</v>
      </c>
      <c r="S23" s="24">
        <v>0.13542312813115184</v>
      </c>
      <c r="T23" s="24">
        <v>0.13542312813115184</v>
      </c>
      <c r="V23" t="s">
        <v>164</v>
      </c>
    </row>
    <row r="24" spans="1:22" x14ac:dyDescent="0.25">
      <c r="B24" t="s">
        <v>154</v>
      </c>
      <c r="C24" s="50">
        <v>0.18349404413583725</v>
      </c>
      <c r="D24" s="24">
        <v>0.12325260323086425</v>
      </c>
      <c r="E24" s="24">
        <v>0.10691124684744631</v>
      </c>
      <c r="F24" s="24">
        <v>9.7771166158415912E-2</v>
      </c>
      <c r="G24" s="24">
        <v>9.2647181529717071E-2</v>
      </c>
      <c r="H24" s="24">
        <v>8.7165441217482945E-2</v>
      </c>
      <c r="I24" s="24">
        <v>9.2357107533113728E-2</v>
      </c>
      <c r="J24" s="24">
        <v>9.4796189691806282E-2</v>
      </c>
      <c r="K24" s="24">
        <v>9.4796189691806282E-2</v>
      </c>
      <c r="L24" s="24">
        <v>9.4796189691806282E-2</v>
      </c>
      <c r="M24" s="24">
        <v>9.4796189691806282E-2</v>
      </c>
      <c r="N24" s="24">
        <v>9.4796189691806282E-2</v>
      </c>
      <c r="O24" s="24">
        <v>9.4796189691806282E-2</v>
      </c>
      <c r="P24" s="24">
        <v>9.4796189691806282E-2</v>
      </c>
      <c r="Q24" s="24">
        <v>9.4796189691806282E-2</v>
      </c>
      <c r="R24" s="24">
        <v>9.4796189691806282E-2</v>
      </c>
      <c r="S24" s="24">
        <v>9.4796189691806282E-2</v>
      </c>
      <c r="T24" s="24">
        <v>9.4796189691806282E-2</v>
      </c>
      <c r="V24" t="s">
        <v>164</v>
      </c>
    </row>
    <row r="25" spans="1:22" x14ac:dyDescent="0.25">
      <c r="C25" s="2"/>
      <c r="D25" s="54"/>
      <c r="E25" s="54"/>
      <c r="F25" s="54"/>
      <c r="G25" s="54"/>
      <c r="H25" s="54"/>
      <c r="I25" s="54"/>
      <c r="J25" s="54"/>
    </row>
    <row r="26" spans="1:22" x14ac:dyDescent="0.25">
      <c r="A26" s="1" t="s">
        <v>166</v>
      </c>
      <c r="C26" s="50"/>
      <c r="D26" s="24"/>
      <c r="E26" s="24"/>
      <c r="F26" s="24"/>
      <c r="G26" s="24"/>
      <c r="H26" s="24"/>
      <c r="I26" s="24"/>
      <c r="J26" s="24"/>
    </row>
    <row r="27" spans="1:22" s="28" customFormat="1" x14ac:dyDescent="0.25">
      <c r="A27" s="55"/>
      <c r="B27" s="28" t="s">
        <v>167</v>
      </c>
      <c r="C27" s="56"/>
      <c r="E27" s="28">
        <v>1.02</v>
      </c>
      <c r="F27" s="28">
        <v>1.02</v>
      </c>
      <c r="G27" s="28">
        <v>1.02</v>
      </c>
      <c r="H27" s="28">
        <v>1.02</v>
      </c>
      <c r="I27" s="28">
        <v>1.02</v>
      </c>
      <c r="J27" s="28">
        <v>1.02</v>
      </c>
      <c r="K27" s="28">
        <v>1.02</v>
      </c>
      <c r="L27" s="28">
        <v>1.02</v>
      </c>
      <c r="M27" s="28">
        <v>1.02</v>
      </c>
      <c r="N27" s="28">
        <v>1.02</v>
      </c>
      <c r="O27" s="28">
        <v>1.02</v>
      </c>
      <c r="P27" s="28">
        <v>1.02</v>
      </c>
      <c r="Q27" s="28">
        <v>1.02</v>
      </c>
      <c r="R27" s="28">
        <v>1.02</v>
      </c>
      <c r="S27" s="28">
        <v>1.02</v>
      </c>
      <c r="T27" s="28">
        <v>1.02</v>
      </c>
    </row>
    <row r="28" spans="1:22" x14ac:dyDescent="0.25">
      <c r="A28" t="s">
        <v>168</v>
      </c>
      <c r="B28" t="s">
        <v>149</v>
      </c>
      <c r="C28" s="50">
        <v>0.59289999999999998</v>
      </c>
      <c r="D28" s="24">
        <v>0.70545359500000004</v>
      </c>
      <c r="E28" s="24">
        <v>0.7412648396999999</v>
      </c>
      <c r="F28" s="24">
        <v>0.76259265001920018</v>
      </c>
      <c r="G28" s="24">
        <v>0.78137246248538417</v>
      </c>
      <c r="H28" s="24">
        <v>0.80189389710604952</v>
      </c>
      <c r="I28" s="24">
        <v>0.83481602457797488</v>
      </c>
      <c r="J28" s="24">
        <v>0.85540599983066845</v>
      </c>
      <c r="K28" s="24">
        <v>0.87251411982728189</v>
      </c>
      <c r="L28" s="24">
        <v>0.88996440222382756</v>
      </c>
      <c r="M28" s="24">
        <v>0.90776369026830417</v>
      </c>
      <c r="N28" s="24">
        <v>0.92591896407367025</v>
      </c>
      <c r="O28" s="24">
        <v>0.94443734335514362</v>
      </c>
      <c r="P28" s="24">
        <v>0.96332609022224647</v>
      </c>
      <c r="Q28" s="24">
        <v>0.98259261202669146</v>
      </c>
      <c r="R28" s="24">
        <v>1.0022444642672252</v>
      </c>
      <c r="S28" s="24">
        <v>1.0222893535525697</v>
      </c>
      <c r="T28" s="24">
        <v>1.0427351406236212</v>
      </c>
      <c r="V28" t="s">
        <v>169</v>
      </c>
    </row>
    <row r="29" spans="1:22" x14ac:dyDescent="0.25">
      <c r="B29" t="s">
        <v>156</v>
      </c>
      <c r="C29" s="50">
        <v>0.15245999999999998</v>
      </c>
      <c r="D29" s="24">
        <v>0.13164920999999999</v>
      </c>
      <c r="E29" s="24">
        <v>0.12315983064000001</v>
      </c>
      <c r="F29" s="24">
        <v>0.10929756776400001</v>
      </c>
      <c r="G29" s="24">
        <v>0.10386312667315202</v>
      </c>
      <c r="H29" s="24">
        <v>0.10018275935842948</v>
      </c>
      <c r="I29" s="24">
        <v>9.5285895172547624E-2</v>
      </c>
      <c r="J29" s="24">
        <v>9.868917259951164E-2</v>
      </c>
      <c r="K29" s="24">
        <v>0.10066295605150187</v>
      </c>
      <c r="L29" s="24">
        <v>0.10267621517253191</v>
      </c>
      <c r="M29" s="24">
        <v>0.10472973947598255</v>
      </c>
      <c r="N29" s="24">
        <v>0.1068243342655022</v>
      </c>
      <c r="O29" s="24">
        <v>0.10896082095081225</v>
      </c>
      <c r="P29" s="24">
        <v>0.1111400373698285</v>
      </c>
      <c r="Q29" s="24">
        <v>0.11336283811722507</v>
      </c>
      <c r="R29" s="24">
        <v>0.11563009487956957</v>
      </c>
      <c r="S29" s="24">
        <v>0.11794269677716096</v>
      </c>
      <c r="T29" s="24">
        <v>0.12030155071270418</v>
      </c>
      <c r="V29" t="s">
        <v>169</v>
      </c>
    </row>
    <row r="30" spans="1:22" x14ac:dyDescent="0.25">
      <c r="C30" s="56"/>
      <c r="D30" s="28"/>
      <c r="E30" s="28"/>
      <c r="F30" s="28"/>
      <c r="G30" s="28"/>
      <c r="H30" s="28"/>
      <c r="I30" s="28"/>
      <c r="J30" s="57"/>
      <c r="K30" s="28"/>
      <c r="L30" s="28"/>
      <c r="M30" s="28"/>
      <c r="N30" s="28"/>
      <c r="O30" s="28"/>
      <c r="P30" s="28"/>
      <c r="Q30" s="28"/>
      <c r="R30" s="28"/>
      <c r="S30" s="28"/>
      <c r="T30" s="28"/>
    </row>
    <row r="31" spans="1:22" x14ac:dyDescent="0.25">
      <c r="C31" s="7">
        <v>2023</v>
      </c>
      <c r="D31" s="3">
        <v>2024</v>
      </c>
      <c r="E31" s="3">
        <v>2025</v>
      </c>
      <c r="F31" s="3">
        <v>2026</v>
      </c>
      <c r="G31" s="3">
        <v>2027</v>
      </c>
      <c r="H31" s="3">
        <v>2028</v>
      </c>
      <c r="I31" s="3">
        <v>2029</v>
      </c>
      <c r="J31" s="3">
        <v>2030</v>
      </c>
      <c r="K31" s="3">
        <v>2031</v>
      </c>
      <c r="L31" s="3">
        <v>2032</v>
      </c>
      <c r="M31" s="3">
        <v>2033</v>
      </c>
      <c r="N31" s="3">
        <v>2034</v>
      </c>
      <c r="O31" s="3">
        <v>2035</v>
      </c>
      <c r="P31" s="3">
        <v>2036</v>
      </c>
      <c r="Q31" s="3">
        <v>2037</v>
      </c>
      <c r="R31" s="3">
        <v>2038</v>
      </c>
      <c r="S31" s="3">
        <v>2039</v>
      </c>
      <c r="T31" s="3">
        <v>2040</v>
      </c>
      <c r="V31" s="3" t="s">
        <v>148</v>
      </c>
    </row>
    <row r="32" spans="1:22" x14ac:dyDescent="0.25">
      <c r="A32" t="s">
        <v>149</v>
      </c>
      <c r="B32" t="s">
        <v>150</v>
      </c>
      <c r="C32" s="50">
        <v>2.5</v>
      </c>
      <c r="D32" s="24">
        <v>1.4117468337853913</v>
      </c>
      <c r="E32" s="24">
        <v>1.4045663161245416</v>
      </c>
      <c r="F32" s="24">
        <v>1.3685717766292751</v>
      </c>
      <c r="G32" s="24">
        <v>1.3423125999555212</v>
      </c>
      <c r="H32" s="24">
        <v>1.3485034471225699</v>
      </c>
      <c r="I32" s="24">
        <v>1.396830956107133</v>
      </c>
      <c r="J32" s="24">
        <v>1.4322633255082153</v>
      </c>
      <c r="K32" s="24">
        <v>1.4493714455048288</v>
      </c>
      <c r="L32" s="24">
        <v>1.4668217279013742</v>
      </c>
      <c r="M32" s="24">
        <v>1.4846210159458511</v>
      </c>
      <c r="N32" s="24">
        <v>1.5027762897512171</v>
      </c>
      <c r="O32" s="24">
        <v>1.5212946690326903</v>
      </c>
      <c r="P32" s="24">
        <v>1.5401834158997931</v>
      </c>
      <c r="Q32" s="24">
        <v>1.5594499377042381</v>
      </c>
      <c r="R32" s="24">
        <v>1.5791017899447719</v>
      </c>
      <c r="S32" s="24">
        <v>1.5991466792301163</v>
      </c>
      <c r="T32" s="24">
        <v>1.6195924663011678</v>
      </c>
      <c r="V32" t="s">
        <v>170</v>
      </c>
    </row>
    <row r="33" spans="1:22" x14ac:dyDescent="0.25">
      <c r="A33" s="13" t="s">
        <v>152</v>
      </c>
      <c r="B33" t="s">
        <v>23</v>
      </c>
      <c r="C33" s="50">
        <v>1.3167783918878146</v>
      </c>
      <c r="D33" s="24">
        <v>1.248756086373378</v>
      </c>
      <c r="E33" s="24">
        <v>1.2514967446419549</v>
      </c>
      <c r="F33" s="24">
        <v>1.2287304397192578</v>
      </c>
      <c r="G33" s="24">
        <v>1.2128648759239511</v>
      </c>
      <c r="H33" s="24">
        <v>1.222362781734142</v>
      </c>
      <c r="I33" s="24">
        <v>1.2671352026773273</v>
      </c>
      <c r="J33" s="24">
        <v>1.2991424041980122</v>
      </c>
      <c r="K33" s="24">
        <v>1.3162505241946256</v>
      </c>
      <c r="L33" s="24">
        <v>1.3337008065911713</v>
      </c>
      <c r="M33" s="24">
        <v>1.3515000946356479</v>
      </c>
      <c r="N33" s="24">
        <v>1.369655368441014</v>
      </c>
      <c r="O33" s="24">
        <v>1.3881737477224874</v>
      </c>
      <c r="P33" s="24">
        <v>1.4070624945895902</v>
      </c>
      <c r="Q33" s="24">
        <v>1.4263290163940352</v>
      </c>
      <c r="R33" s="24">
        <v>1.445980868634569</v>
      </c>
      <c r="S33" s="24">
        <v>1.4660257579199134</v>
      </c>
      <c r="T33" s="24">
        <v>1.4864715449909649</v>
      </c>
      <c r="V33" t="s">
        <v>170</v>
      </c>
    </row>
    <row r="34" spans="1:22" x14ac:dyDescent="0.25">
      <c r="B34" t="s">
        <v>154</v>
      </c>
      <c r="C34" s="50">
        <v>1.135808793915861</v>
      </c>
      <c r="D34" s="24">
        <v>1.0857653389613646</v>
      </c>
      <c r="E34" s="24">
        <v>1.0984271731593684</v>
      </c>
      <c r="F34" s="24">
        <v>1.0888891028092405</v>
      </c>
      <c r="G34" s="24">
        <v>1.083417151892381</v>
      </c>
      <c r="H34" s="24">
        <v>1.0962221163457142</v>
      </c>
      <c r="I34" s="24">
        <v>1.1374394492475215</v>
      </c>
      <c r="J34" s="24">
        <v>1.166021482887809</v>
      </c>
      <c r="K34" s="24">
        <v>1.1831296028844225</v>
      </c>
      <c r="L34" s="24">
        <v>1.2005798852809682</v>
      </c>
      <c r="M34" s="24">
        <v>1.2183791733254448</v>
      </c>
      <c r="N34" s="24">
        <v>1.2365344471308108</v>
      </c>
      <c r="O34" s="24">
        <v>1.2550528264122842</v>
      </c>
      <c r="P34" s="24">
        <v>1.2739415732793871</v>
      </c>
      <c r="Q34" s="24">
        <v>1.2932080950838321</v>
      </c>
      <c r="R34" s="24">
        <v>1.3128599473243658</v>
      </c>
      <c r="S34" s="24">
        <v>1.3329048366097103</v>
      </c>
      <c r="T34" s="24">
        <v>1.3533506236807618</v>
      </c>
      <c r="V34" t="s">
        <v>170</v>
      </c>
    </row>
    <row r="35" spans="1:22" x14ac:dyDescent="0.25">
      <c r="B35" t="s">
        <v>171</v>
      </c>
      <c r="C35" s="50">
        <v>2.5</v>
      </c>
      <c r="D35" s="24">
        <v>1.4117468337853913</v>
      </c>
      <c r="E35" s="24">
        <v>1.4045663161245416</v>
      </c>
      <c r="F35" s="24">
        <v>1.4610634432959417</v>
      </c>
      <c r="G35" s="24">
        <v>2.8022792666221878</v>
      </c>
      <c r="H35" s="24">
        <v>1.9395824701110755</v>
      </c>
      <c r="I35" s="24">
        <v>1.396830956107133</v>
      </c>
      <c r="J35" s="24">
        <v>1.4322633255082153</v>
      </c>
      <c r="K35" s="24">
        <v>1.4493714455048288</v>
      </c>
      <c r="L35" s="24">
        <v>1.4668217279013742</v>
      </c>
      <c r="M35" s="24">
        <v>1.5771126826125177</v>
      </c>
      <c r="N35" s="24">
        <v>2.962742956417884</v>
      </c>
      <c r="O35" s="24">
        <v>2.1123736920211957</v>
      </c>
      <c r="P35" s="24">
        <v>1.5401834158997931</v>
      </c>
      <c r="Q35" s="24">
        <v>1.5594499377042381</v>
      </c>
      <c r="R35" s="24">
        <v>1.5791017899447719</v>
      </c>
      <c r="S35" s="24">
        <v>1.5991466792301163</v>
      </c>
      <c r="T35" s="24">
        <v>1.6195924663011678</v>
      </c>
      <c r="V35" t="s">
        <v>172</v>
      </c>
    </row>
    <row r="36" spans="1:22" x14ac:dyDescent="0.25">
      <c r="C36" s="2"/>
    </row>
    <row r="37" spans="1:22" x14ac:dyDescent="0.25">
      <c r="C37" s="7">
        <v>2023</v>
      </c>
      <c r="D37" s="3">
        <v>2024</v>
      </c>
      <c r="E37" s="3">
        <v>2025</v>
      </c>
      <c r="F37" s="3">
        <v>2026</v>
      </c>
      <c r="G37" s="3">
        <v>2027</v>
      </c>
      <c r="H37" s="3">
        <v>2028</v>
      </c>
      <c r="I37" s="3">
        <v>2029</v>
      </c>
      <c r="J37" s="3">
        <v>2030</v>
      </c>
      <c r="K37" s="3">
        <v>2031</v>
      </c>
      <c r="L37" s="3">
        <v>2032</v>
      </c>
      <c r="M37" s="3">
        <v>2033</v>
      </c>
      <c r="N37" s="3">
        <v>2034</v>
      </c>
      <c r="O37" s="3">
        <v>2035</v>
      </c>
      <c r="P37" s="3">
        <v>2036</v>
      </c>
      <c r="Q37" s="3">
        <v>2037</v>
      </c>
      <c r="R37" s="3">
        <v>2038</v>
      </c>
      <c r="S37" s="3">
        <v>2039</v>
      </c>
      <c r="T37" s="3">
        <v>2040</v>
      </c>
      <c r="V37" s="3" t="s">
        <v>148</v>
      </c>
    </row>
    <row r="38" spans="1:22" x14ac:dyDescent="0.25">
      <c r="A38" t="s">
        <v>156</v>
      </c>
      <c r="B38" t="s">
        <v>150</v>
      </c>
      <c r="C38" s="50">
        <v>0.8</v>
      </c>
      <c r="D38" s="24">
        <v>0.37815441646172848</v>
      </c>
      <c r="E38" s="24">
        <v>0.32170928907097174</v>
      </c>
      <c r="F38" s="24">
        <v>0.29087259062962956</v>
      </c>
      <c r="G38" s="24">
        <v>0.27592217808548375</v>
      </c>
      <c r="H38" s="24">
        <v>0.26206143590518349</v>
      </c>
      <c r="I38" s="24">
        <v>0.26680623773404455</v>
      </c>
      <c r="J38" s="24">
        <v>0.27473923917000903</v>
      </c>
      <c r="K38" s="24">
        <v>0.27671302262199926</v>
      </c>
      <c r="L38" s="24">
        <v>0.27872628174302932</v>
      </c>
      <c r="M38" s="24">
        <v>0.28077980604647995</v>
      </c>
      <c r="N38" s="24">
        <v>0.28287440083599957</v>
      </c>
      <c r="O38" s="24">
        <v>0.28501088752130965</v>
      </c>
      <c r="P38" s="24">
        <v>0.2871901039403259</v>
      </c>
      <c r="Q38" s="24">
        <v>0.28941290468772246</v>
      </c>
      <c r="R38" s="24">
        <v>0.29168016145006698</v>
      </c>
      <c r="S38" s="24">
        <v>0.29399276334765834</v>
      </c>
      <c r="T38" s="24">
        <v>0.29635161728320158</v>
      </c>
      <c r="V38" t="s">
        <v>170</v>
      </c>
    </row>
    <row r="39" spans="1:22" x14ac:dyDescent="0.25">
      <c r="A39" s="13" t="s">
        <v>165</v>
      </c>
      <c r="B39" t="s">
        <v>23</v>
      </c>
      <c r="C39" s="50">
        <v>0.39711872551444971</v>
      </c>
      <c r="D39" s="24">
        <v>0.30772435747266325</v>
      </c>
      <c r="E39" s="24">
        <v>0.275890183279209</v>
      </c>
      <c r="F39" s="24">
        <v>0.24897066227602277</v>
      </c>
      <c r="G39" s="24">
        <v>0.23621624314417644</v>
      </c>
      <c r="H39" s="24">
        <v>0.22470481824054794</v>
      </c>
      <c r="I39" s="24">
        <v>0.22722462021985299</v>
      </c>
      <c r="J39" s="24">
        <v>0.23411230073066347</v>
      </c>
      <c r="K39" s="24">
        <v>0.2360860841826537</v>
      </c>
      <c r="L39" s="24">
        <v>0.23809934330368376</v>
      </c>
      <c r="M39" s="24">
        <v>0.24015286760713439</v>
      </c>
      <c r="N39" s="24">
        <v>0.24224746239665404</v>
      </c>
      <c r="O39" s="24">
        <v>0.24438394908196409</v>
      </c>
      <c r="P39" s="24">
        <v>0.24656316550098034</v>
      </c>
      <c r="Q39" s="24">
        <v>0.2487859662483769</v>
      </c>
      <c r="R39" s="24">
        <v>0.25105322301072142</v>
      </c>
      <c r="S39" s="24">
        <v>0.25336582490831283</v>
      </c>
      <c r="T39" s="24">
        <v>0.25572467884385602</v>
      </c>
      <c r="V39" t="s">
        <v>170</v>
      </c>
    </row>
    <row r="40" spans="1:22" x14ac:dyDescent="0.25">
      <c r="B40" t="s">
        <v>154</v>
      </c>
      <c r="C40" s="50">
        <v>0.33595404413583724</v>
      </c>
      <c r="D40" s="24">
        <v>0.25490181323086425</v>
      </c>
      <c r="E40" s="24">
        <v>0.23007107748744632</v>
      </c>
      <c r="F40" s="24">
        <v>0.20706873392241593</v>
      </c>
      <c r="G40" s="24">
        <v>0.19651030820286908</v>
      </c>
      <c r="H40" s="24">
        <v>0.18734820057591242</v>
      </c>
      <c r="I40" s="24">
        <v>0.18764300270566137</v>
      </c>
      <c r="J40" s="24">
        <v>0.19348536229131791</v>
      </c>
      <c r="K40" s="24">
        <v>0.19545914574330814</v>
      </c>
      <c r="L40" s="24">
        <v>0.1974724048643382</v>
      </c>
      <c r="M40" s="24">
        <v>0.19952592916778883</v>
      </c>
      <c r="N40" s="24">
        <v>0.20162052395730848</v>
      </c>
      <c r="O40" s="24">
        <v>0.20375701064261853</v>
      </c>
      <c r="P40" s="24">
        <v>0.20593622706163478</v>
      </c>
      <c r="Q40" s="24">
        <v>0.20815902780903134</v>
      </c>
      <c r="R40" s="24">
        <v>0.21042628457137585</v>
      </c>
      <c r="S40" s="24">
        <v>0.21273888646896724</v>
      </c>
      <c r="T40" s="24">
        <v>0.21509774040451046</v>
      </c>
      <c r="V40" t="s">
        <v>170</v>
      </c>
    </row>
    <row r="41" spans="1:22" x14ac:dyDescent="0.25">
      <c r="B41" t="s">
        <v>171</v>
      </c>
      <c r="C41" s="50">
        <v>0.39711872551444971</v>
      </c>
      <c r="D41" s="24">
        <v>0.37815441646172848</v>
      </c>
      <c r="E41" s="24">
        <v>0.32170928907097174</v>
      </c>
      <c r="F41" s="24">
        <v>0.32233092396296292</v>
      </c>
      <c r="G41" s="24">
        <v>0.65974717808548378</v>
      </c>
      <c r="H41" s="24">
        <v>0.46827948261431301</v>
      </c>
      <c r="I41" s="24">
        <v>0.26680623773404455</v>
      </c>
      <c r="J41" s="24">
        <v>0.27473923917000903</v>
      </c>
      <c r="K41" s="24">
        <v>0.27671302262199926</v>
      </c>
      <c r="L41" s="24">
        <v>0.27872628174302932</v>
      </c>
      <c r="M41" s="24">
        <v>0.31223813937981326</v>
      </c>
      <c r="N41" s="24">
        <v>0.66669940083599966</v>
      </c>
      <c r="O41" s="24">
        <v>0.49122893423043917</v>
      </c>
      <c r="P41" s="24">
        <v>0.2871901039403259</v>
      </c>
      <c r="Q41" s="24">
        <v>0.28941290468772246</v>
      </c>
      <c r="R41" s="24">
        <v>0.29168016145006698</v>
      </c>
      <c r="S41" s="24">
        <v>0.29399276334765834</v>
      </c>
      <c r="T41" s="24">
        <v>0.29635161728320158</v>
      </c>
      <c r="V41" t="s">
        <v>172</v>
      </c>
    </row>
    <row r="42" spans="1:22" hidden="1" x14ac:dyDescent="0.25"/>
    <row r="43" spans="1:22" s="2" customFormat="1" hidden="1" x14ac:dyDescent="0.25">
      <c r="A43" s="58" t="s">
        <v>173</v>
      </c>
    </row>
    <row r="44" spans="1:22" s="2" customFormat="1" hidden="1" x14ac:dyDescent="0.25">
      <c r="A44" s="2" t="s">
        <v>174</v>
      </c>
      <c r="B44" s="59">
        <v>0.86867079182497331</v>
      </c>
      <c r="C44" s="2" t="s">
        <v>175</v>
      </c>
    </row>
    <row r="45" spans="1:22" s="2" customFormat="1" hidden="1" x14ac:dyDescent="0.25">
      <c r="B45" s="59"/>
    </row>
    <row r="46" spans="1:22" s="2" customFormat="1" hidden="1" x14ac:dyDescent="0.25">
      <c r="A46" s="2" t="s">
        <v>176</v>
      </c>
      <c r="C46" s="7">
        <v>2023</v>
      </c>
      <c r="D46" s="7">
        <v>2024</v>
      </c>
      <c r="E46" s="7">
        <v>2025</v>
      </c>
      <c r="F46" s="7">
        <v>2026</v>
      </c>
      <c r="G46" s="7">
        <v>2027</v>
      </c>
      <c r="H46" s="7">
        <v>2028</v>
      </c>
      <c r="I46" s="7">
        <v>2029</v>
      </c>
      <c r="J46" s="7">
        <v>2030</v>
      </c>
      <c r="K46" s="7">
        <v>2031</v>
      </c>
      <c r="L46" s="7">
        <v>2032</v>
      </c>
      <c r="M46" s="7">
        <v>2033</v>
      </c>
      <c r="N46" s="7">
        <v>2034</v>
      </c>
      <c r="O46" s="7">
        <v>2035</v>
      </c>
      <c r="P46" s="7">
        <v>2036</v>
      </c>
      <c r="Q46" s="7">
        <v>2037</v>
      </c>
      <c r="R46" s="7">
        <v>2038</v>
      </c>
      <c r="S46" s="7">
        <v>2039</v>
      </c>
      <c r="T46" s="7">
        <v>2040</v>
      </c>
      <c r="V46" s="7" t="s">
        <v>148</v>
      </c>
    </row>
    <row r="47" spans="1:22" s="2" customFormat="1" hidden="1" x14ac:dyDescent="0.25">
      <c r="A47" s="60" t="s">
        <v>177</v>
      </c>
      <c r="B47" s="2" t="s">
        <v>167</v>
      </c>
      <c r="D47" s="59">
        <v>0.02</v>
      </c>
      <c r="E47" s="59">
        <v>0.02</v>
      </c>
      <c r="F47" s="59">
        <v>0.02</v>
      </c>
      <c r="G47" s="59">
        <v>0.02</v>
      </c>
      <c r="H47" s="59">
        <v>0.02</v>
      </c>
      <c r="I47" s="59">
        <v>0.02</v>
      </c>
      <c r="J47" s="59">
        <v>0.02</v>
      </c>
      <c r="K47" s="59">
        <v>0.02</v>
      </c>
      <c r="L47" s="59">
        <v>0.02</v>
      </c>
      <c r="M47" s="59">
        <v>0.02</v>
      </c>
      <c r="N47" s="59">
        <v>0.02</v>
      </c>
      <c r="O47" s="59">
        <v>0.02</v>
      </c>
      <c r="P47" s="59">
        <v>0.02</v>
      </c>
      <c r="Q47" s="59">
        <v>0.02</v>
      </c>
      <c r="R47" s="59">
        <v>0.02</v>
      </c>
      <c r="S47" s="59">
        <v>0.02</v>
      </c>
      <c r="T47" s="59">
        <v>0.02</v>
      </c>
    </row>
    <row r="48" spans="1:22" s="2" customFormat="1" hidden="1" x14ac:dyDescent="0.25">
      <c r="B48" s="2" t="s">
        <v>176</v>
      </c>
      <c r="C48" s="26">
        <v>630.22</v>
      </c>
      <c r="D48" s="26">
        <v>642.82440000000008</v>
      </c>
      <c r="E48" s="26">
        <v>655.6808880000001</v>
      </c>
      <c r="F48" s="26">
        <v>668.79450576000011</v>
      </c>
      <c r="G48" s="26">
        <v>682.17039587520014</v>
      </c>
      <c r="H48" s="26">
        <v>695.81380379270411</v>
      </c>
      <c r="I48" s="26">
        <v>709.73007986855816</v>
      </c>
      <c r="J48" s="26">
        <v>723.92468146592932</v>
      </c>
      <c r="K48" s="26">
        <v>738.40317509524789</v>
      </c>
      <c r="L48" s="26">
        <v>753.17123859715286</v>
      </c>
      <c r="M48" s="26">
        <v>768.23466336909598</v>
      </c>
      <c r="N48" s="26">
        <v>783.59935663647786</v>
      </c>
      <c r="O48" s="26">
        <v>799.27134376920742</v>
      </c>
      <c r="P48" s="26">
        <v>815.2567706445916</v>
      </c>
      <c r="Q48" s="26">
        <v>831.5619060574835</v>
      </c>
      <c r="R48" s="26">
        <v>848.19314417863313</v>
      </c>
      <c r="S48" s="26">
        <v>865.15700706220582</v>
      </c>
      <c r="T48" s="26">
        <v>882.46014720344999</v>
      </c>
      <c r="V48" s="2" t="s">
        <v>178</v>
      </c>
    </row>
    <row r="49" spans="1:22" s="2" customFormat="1" hidden="1" x14ac:dyDescent="0.25"/>
    <row r="50" spans="1:22" s="2" customFormat="1" hidden="1" x14ac:dyDescent="0.25">
      <c r="A50" s="2" t="s">
        <v>179</v>
      </c>
      <c r="B50" s="59" t="s">
        <v>167</v>
      </c>
      <c r="D50" s="59">
        <v>0.02</v>
      </c>
      <c r="E50" s="59">
        <v>0.02</v>
      </c>
      <c r="F50" s="59">
        <v>0.02</v>
      </c>
      <c r="G50" s="59">
        <v>0.02</v>
      </c>
      <c r="H50" s="59">
        <v>0.02</v>
      </c>
      <c r="I50" s="59">
        <v>0.02</v>
      </c>
      <c r="J50" s="59">
        <v>0.02</v>
      </c>
      <c r="K50" s="59">
        <v>0.02</v>
      </c>
      <c r="L50" s="59">
        <v>0.02</v>
      </c>
      <c r="M50" s="59">
        <v>0.02</v>
      </c>
      <c r="N50" s="59">
        <v>0.02</v>
      </c>
      <c r="O50" s="59">
        <v>0.02</v>
      </c>
      <c r="P50" s="59">
        <v>0.02</v>
      </c>
      <c r="Q50" s="59">
        <v>0.02</v>
      </c>
      <c r="R50" s="59">
        <v>0.02</v>
      </c>
      <c r="S50" s="59">
        <v>0.02</v>
      </c>
      <c r="T50" s="59">
        <v>0.02</v>
      </c>
    </row>
    <row r="51" spans="1:22" s="2" customFormat="1" hidden="1" x14ac:dyDescent="0.25">
      <c r="A51" s="60" t="s">
        <v>158</v>
      </c>
      <c r="B51" s="59" t="s">
        <v>180</v>
      </c>
      <c r="C51" s="26">
        <v>45.385562628154922</v>
      </c>
      <c r="D51" s="26">
        <v>169.6794034462369</v>
      </c>
      <c r="E51" s="26">
        <v>169.6794034462369</v>
      </c>
      <c r="F51" s="26">
        <v>169.6794034462369</v>
      </c>
      <c r="G51" s="26">
        <v>169.6794034462369</v>
      </c>
      <c r="H51" s="26">
        <v>169.6794034462369</v>
      </c>
      <c r="I51" s="26">
        <v>169.6794034462369</v>
      </c>
      <c r="J51" s="26">
        <v>169.6794034462369</v>
      </c>
      <c r="K51" s="26">
        <v>169.6794034462369</v>
      </c>
      <c r="L51" s="26">
        <v>169.6794034462369</v>
      </c>
      <c r="M51" s="26">
        <v>169.6794034462369</v>
      </c>
      <c r="N51" s="26">
        <v>169.6794034462369</v>
      </c>
      <c r="O51" s="26">
        <v>169.6794034462369</v>
      </c>
      <c r="P51" s="26">
        <v>169.6794034462369</v>
      </c>
      <c r="Q51" s="26">
        <v>169.6794034462369</v>
      </c>
      <c r="R51" s="26">
        <v>169.6794034462369</v>
      </c>
      <c r="S51" s="26">
        <v>169.6794034462369</v>
      </c>
      <c r="T51" s="26">
        <v>169.6794034462369</v>
      </c>
      <c r="V51" s="2" t="s">
        <v>181</v>
      </c>
    </row>
    <row r="52" spans="1:22" s="2" customFormat="1" hidden="1" x14ac:dyDescent="0.25"/>
    <row r="53" spans="1:22" s="2" customFormat="1" hidden="1" x14ac:dyDescent="0.25">
      <c r="B53" s="2" t="s">
        <v>174</v>
      </c>
      <c r="C53" s="59">
        <v>0.92506208790813726</v>
      </c>
      <c r="D53" s="2" t="s">
        <v>175</v>
      </c>
    </row>
    <row r="54" spans="1:22" s="2" customFormat="1" hidden="1" x14ac:dyDescent="0.25">
      <c r="C54" s="7">
        <v>2023</v>
      </c>
      <c r="D54" s="7">
        <v>2024</v>
      </c>
      <c r="E54" s="7">
        <v>2025</v>
      </c>
      <c r="F54" s="7">
        <v>2026</v>
      </c>
      <c r="G54" s="7">
        <v>2027</v>
      </c>
      <c r="H54" s="7">
        <v>2028</v>
      </c>
      <c r="I54" s="7">
        <v>2029</v>
      </c>
      <c r="J54" s="7">
        <v>2030</v>
      </c>
      <c r="K54" s="7">
        <v>2031</v>
      </c>
      <c r="L54" s="7">
        <v>2032</v>
      </c>
      <c r="M54" s="7">
        <v>2033</v>
      </c>
      <c r="N54" s="7">
        <v>2034</v>
      </c>
      <c r="O54" s="7">
        <v>2035</v>
      </c>
      <c r="P54" s="7">
        <v>2036</v>
      </c>
      <c r="Q54" s="7">
        <v>2037</v>
      </c>
      <c r="R54" s="7">
        <v>2038</v>
      </c>
      <c r="S54" s="7">
        <v>2039</v>
      </c>
      <c r="T54" s="7">
        <v>2040</v>
      </c>
      <c r="V54" s="7" t="s">
        <v>148</v>
      </c>
    </row>
    <row r="55" spans="1:22" s="2" customFormat="1" hidden="1" x14ac:dyDescent="0.25">
      <c r="A55" s="2" t="s">
        <v>182</v>
      </c>
      <c r="B55" s="2" t="s">
        <v>150</v>
      </c>
      <c r="C55" s="51">
        <v>90.91</v>
      </c>
      <c r="D55" s="51">
        <v>97.982125939903014</v>
      </c>
      <c r="E55" s="51">
        <v>99.30175543400118</v>
      </c>
      <c r="F55" s="51">
        <v>99.882659792996847</v>
      </c>
      <c r="G55" s="51">
        <v>100.68999666712223</v>
      </c>
      <c r="H55" s="51">
        <v>102.272003003404</v>
      </c>
      <c r="I55" s="51">
        <v>104.9293232070997</v>
      </c>
      <c r="J55" s="51">
        <v>107.22734153255382</v>
      </c>
      <c r="K55" s="51">
        <v>109.11010399138674</v>
      </c>
      <c r="L55" s="51">
        <v>111.0305216993963</v>
      </c>
      <c r="M55" s="51">
        <v>112.98934776156604</v>
      </c>
      <c r="N55" s="51">
        <v>114.98735034497919</v>
      </c>
      <c r="O55" s="51">
        <v>117.0253129800606</v>
      </c>
      <c r="P55" s="51">
        <v>119.10403486784365</v>
      </c>
      <c r="Q55" s="51">
        <v>121.22433119338234</v>
      </c>
      <c r="R55" s="51">
        <v>123.38703344543181</v>
      </c>
      <c r="S55" s="51">
        <v>125.59298974252228</v>
      </c>
      <c r="T55" s="51">
        <v>127.84306516555456</v>
      </c>
      <c r="V55" s="2" t="s">
        <v>183</v>
      </c>
    </row>
    <row r="56" spans="1:22" s="2" customFormat="1" hidden="1" x14ac:dyDescent="0.25">
      <c r="A56" s="60" t="s">
        <v>177</v>
      </c>
      <c r="B56" s="2" t="s">
        <v>23</v>
      </c>
      <c r="C56" s="51">
        <v>90.91</v>
      </c>
      <c r="D56" s="51">
        <v>94.283773806356592</v>
      </c>
      <c r="E56" s="51">
        <v>95.828520386844573</v>
      </c>
      <c r="F56" s="51">
        <v>96.709580861026609</v>
      </c>
      <c r="G56" s="51">
        <v>97.752754682798454</v>
      </c>
      <c r="H56" s="51">
        <v>99.409800047876772</v>
      </c>
      <c r="I56" s="51">
        <v>101.98645329561616</v>
      </c>
      <c r="J56" s="51">
        <v>104.20675262695953</v>
      </c>
      <c r="K56" s="51">
        <v>106.08951508579244</v>
      </c>
      <c r="L56" s="51">
        <v>108.00993279380199</v>
      </c>
      <c r="M56" s="51">
        <v>109.96875885597176</v>
      </c>
      <c r="N56" s="51">
        <v>111.96676143938491</v>
      </c>
      <c r="O56" s="51">
        <v>114.0047240744663</v>
      </c>
      <c r="P56" s="51">
        <v>116.08344596224934</v>
      </c>
      <c r="Q56" s="51">
        <v>118.20374228778806</v>
      </c>
      <c r="R56" s="51">
        <v>120.36644453983753</v>
      </c>
      <c r="S56" s="51">
        <v>122.57240083692801</v>
      </c>
      <c r="T56" s="51">
        <v>124.82247625996025</v>
      </c>
      <c r="V56" s="2" t="s">
        <v>183</v>
      </c>
    </row>
    <row r="57" spans="1:22" s="2" customFormat="1" hidden="1" x14ac:dyDescent="0.25">
      <c r="B57" s="2" t="s">
        <v>154</v>
      </c>
      <c r="C57" s="51">
        <v>90.91</v>
      </c>
      <c r="D57" s="51">
        <v>90.585421672810227</v>
      </c>
      <c r="E57" s="51">
        <v>92.355285339687967</v>
      </c>
      <c r="F57" s="51">
        <v>93.536501929056385</v>
      </c>
      <c r="G57" s="51">
        <v>94.815512698474677</v>
      </c>
      <c r="H57" s="51">
        <v>96.547597092349619</v>
      </c>
      <c r="I57" s="51">
        <v>99.043583384132646</v>
      </c>
      <c r="J57" s="51">
        <v>101.18616372136523</v>
      </c>
      <c r="K57" s="51">
        <v>103.06892618019815</v>
      </c>
      <c r="L57" s="51">
        <v>104.98934388820771</v>
      </c>
      <c r="M57" s="51">
        <v>106.94816995037746</v>
      </c>
      <c r="N57" s="51">
        <v>108.9461725337906</v>
      </c>
      <c r="O57" s="51">
        <v>110.98413516887203</v>
      </c>
      <c r="P57" s="51">
        <v>113.06285705665503</v>
      </c>
      <c r="Q57" s="51">
        <v>115.18315338219375</v>
      </c>
      <c r="R57" s="51">
        <v>117.34585563424324</v>
      </c>
      <c r="S57" s="51">
        <v>119.5518119313337</v>
      </c>
      <c r="T57" s="51">
        <v>121.80188735436599</v>
      </c>
      <c r="V57" s="2" t="s">
        <v>183</v>
      </c>
    </row>
    <row r="58" spans="1:22" hidden="1" x14ac:dyDescent="0.25"/>
    <row r="60" spans="1:22" x14ac:dyDescent="0.25">
      <c r="A60" s="1" t="s">
        <v>127</v>
      </c>
    </row>
    <row r="61" spans="1:22" x14ac:dyDescent="0.25">
      <c r="C61" s="61">
        <v>2023</v>
      </c>
      <c r="D61" s="61">
        <v>2024</v>
      </c>
      <c r="E61" s="61">
        <v>2025</v>
      </c>
      <c r="F61" s="61">
        <v>2026</v>
      </c>
      <c r="G61" s="61">
        <v>2027</v>
      </c>
      <c r="H61" s="61">
        <v>2028</v>
      </c>
      <c r="I61" s="61">
        <v>2029</v>
      </c>
      <c r="J61" s="61">
        <v>2030</v>
      </c>
      <c r="K61" s="61">
        <v>2031</v>
      </c>
      <c r="L61" s="61">
        <v>2032</v>
      </c>
      <c r="M61" s="61">
        <v>2033</v>
      </c>
      <c r="N61" s="61">
        <v>2034</v>
      </c>
      <c r="O61" s="61">
        <v>2035</v>
      </c>
      <c r="P61" s="61">
        <v>2036</v>
      </c>
      <c r="Q61" s="61">
        <v>2037</v>
      </c>
      <c r="R61" s="61">
        <v>2038</v>
      </c>
      <c r="S61" s="61">
        <v>2039</v>
      </c>
      <c r="T61" s="61">
        <v>2040</v>
      </c>
      <c r="V61" s="3" t="s">
        <v>148</v>
      </c>
    </row>
    <row r="62" spans="1:22" x14ac:dyDescent="0.25">
      <c r="A62" s="1" t="s">
        <v>184</v>
      </c>
      <c r="C62" s="47">
        <v>1</v>
      </c>
      <c r="D62" s="47">
        <v>1</v>
      </c>
      <c r="E62" s="47">
        <v>0.64</v>
      </c>
      <c r="F62" s="47">
        <v>0.64</v>
      </c>
      <c r="G62" s="47">
        <v>0.55000000000000004</v>
      </c>
      <c r="H62" s="47">
        <v>0.46</v>
      </c>
      <c r="I62" s="47">
        <v>0.37</v>
      </c>
      <c r="J62" s="47">
        <v>0.28000000000000003</v>
      </c>
      <c r="K62" s="47">
        <v>0</v>
      </c>
      <c r="L62" s="47">
        <v>0</v>
      </c>
      <c r="M62" s="47">
        <v>0</v>
      </c>
      <c r="N62" s="47">
        <v>0</v>
      </c>
      <c r="O62" s="47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V62" t="s">
        <v>185</v>
      </c>
    </row>
    <row r="63" spans="1:22" x14ac:dyDescent="0.25"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</row>
    <row r="64" spans="1:22" x14ac:dyDescent="0.25">
      <c r="C64" s="61">
        <v>2023</v>
      </c>
      <c r="D64" s="61">
        <v>2024</v>
      </c>
      <c r="E64" s="61">
        <v>2025</v>
      </c>
      <c r="F64" s="61">
        <v>2026</v>
      </c>
      <c r="G64" s="61">
        <v>2027</v>
      </c>
      <c r="H64" s="61">
        <v>2028</v>
      </c>
      <c r="I64" s="61">
        <v>2029</v>
      </c>
      <c r="J64" s="61">
        <v>2030</v>
      </c>
      <c r="K64" s="61">
        <v>2031</v>
      </c>
      <c r="L64" s="61">
        <v>2032</v>
      </c>
      <c r="M64" s="61">
        <v>2033</v>
      </c>
      <c r="N64" s="61">
        <v>2034</v>
      </c>
      <c r="O64" s="61">
        <v>2035</v>
      </c>
      <c r="P64" s="61">
        <v>2036</v>
      </c>
      <c r="Q64" s="61">
        <v>2037</v>
      </c>
      <c r="R64" s="61">
        <v>2038</v>
      </c>
      <c r="S64" s="61">
        <v>2039</v>
      </c>
      <c r="T64" s="61">
        <v>2040</v>
      </c>
      <c r="V64" s="3" t="s">
        <v>148</v>
      </c>
    </row>
    <row r="65" spans="1:22" x14ac:dyDescent="0.25">
      <c r="A65" s="1" t="s">
        <v>186</v>
      </c>
      <c r="B65" t="s">
        <v>150</v>
      </c>
      <c r="C65" s="24">
        <v>0.115</v>
      </c>
      <c r="D65" s="24">
        <f t="shared" ref="D65:D67" si="0">C65</f>
        <v>0.115</v>
      </c>
      <c r="E65" s="24">
        <f t="shared" ref="E65:E67" si="1">E22*80%</f>
        <v>0.15883956674477739</v>
      </c>
      <c r="F65" s="24">
        <f t="shared" ref="F65:T67" si="2">F22*80%</f>
        <v>0.14526001829250365</v>
      </c>
      <c r="G65" s="24">
        <f t="shared" si="2"/>
        <v>0.1376472411298654</v>
      </c>
      <c r="H65" s="24">
        <f t="shared" si="2"/>
        <v>0.12950294123740322</v>
      </c>
      <c r="I65" s="24">
        <f t="shared" si="2"/>
        <v>0.13721627404919756</v>
      </c>
      <c r="J65" s="24">
        <f t="shared" si="2"/>
        <v>0.14084005325639792</v>
      </c>
      <c r="K65" s="24">
        <f t="shared" si="2"/>
        <v>0.14084005325639792</v>
      </c>
      <c r="L65" s="24">
        <f t="shared" si="2"/>
        <v>0.14084005325639792</v>
      </c>
      <c r="M65" s="24">
        <f t="shared" si="2"/>
        <v>0.14084005325639792</v>
      </c>
      <c r="N65" s="24">
        <f t="shared" si="2"/>
        <v>0.14084005325639792</v>
      </c>
      <c r="O65" s="24">
        <f t="shared" si="2"/>
        <v>0.14084005325639792</v>
      </c>
      <c r="P65" s="24">
        <f t="shared" si="2"/>
        <v>0.14084005325639792</v>
      </c>
      <c r="Q65" s="24">
        <f t="shared" si="2"/>
        <v>0.14084005325639792</v>
      </c>
      <c r="R65" s="24">
        <f t="shared" si="2"/>
        <v>0.14084005325639792</v>
      </c>
      <c r="S65" s="24">
        <f t="shared" si="2"/>
        <v>0.14084005325639792</v>
      </c>
      <c r="T65" s="24">
        <f t="shared" si="2"/>
        <v>0.14084005325639792</v>
      </c>
      <c r="V65" t="s">
        <v>187</v>
      </c>
    </row>
    <row r="66" spans="1:22" x14ac:dyDescent="0.25">
      <c r="B66" t="s">
        <v>23</v>
      </c>
      <c r="C66" s="24">
        <v>0.115</v>
      </c>
      <c r="D66" s="24">
        <f t="shared" si="0"/>
        <v>0.115</v>
      </c>
      <c r="E66" s="24">
        <f t="shared" si="1"/>
        <v>0.12218428211136721</v>
      </c>
      <c r="F66" s="24">
        <f t="shared" si="2"/>
        <v>0.11173847560961821</v>
      </c>
      <c r="G66" s="24">
        <f t="shared" si="2"/>
        <v>0.10588249317681953</v>
      </c>
      <c r="H66" s="24">
        <f t="shared" si="2"/>
        <v>9.961764710569479E-2</v>
      </c>
      <c r="I66" s="24">
        <f t="shared" si="2"/>
        <v>0.1055509800378443</v>
      </c>
      <c r="J66" s="24">
        <f t="shared" si="2"/>
        <v>0.10833850250492148</v>
      </c>
      <c r="K66" s="24">
        <f t="shared" si="2"/>
        <v>0.10833850250492148</v>
      </c>
      <c r="L66" s="24">
        <f t="shared" si="2"/>
        <v>0.10833850250492148</v>
      </c>
      <c r="M66" s="24">
        <f t="shared" si="2"/>
        <v>0.10833850250492148</v>
      </c>
      <c r="N66" s="24">
        <f t="shared" si="2"/>
        <v>0.10833850250492148</v>
      </c>
      <c r="O66" s="24">
        <f t="shared" si="2"/>
        <v>0.10833850250492148</v>
      </c>
      <c r="P66" s="24">
        <f t="shared" si="2"/>
        <v>0.10833850250492148</v>
      </c>
      <c r="Q66" s="24">
        <f t="shared" si="2"/>
        <v>0.10833850250492148</v>
      </c>
      <c r="R66" s="24">
        <f t="shared" si="2"/>
        <v>0.10833850250492148</v>
      </c>
      <c r="S66" s="24">
        <f t="shared" si="2"/>
        <v>0.10833850250492148</v>
      </c>
      <c r="T66" s="24">
        <f t="shared" si="2"/>
        <v>0.10833850250492148</v>
      </c>
      <c r="V66" t="s">
        <v>187</v>
      </c>
    </row>
    <row r="67" spans="1:22" x14ac:dyDescent="0.25">
      <c r="B67" t="s">
        <v>154</v>
      </c>
      <c r="C67" s="24">
        <v>0.115</v>
      </c>
      <c r="D67" s="24">
        <f t="shared" si="0"/>
        <v>0.115</v>
      </c>
      <c r="E67" s="24">
        <f t="shared" si="1"/>
        <v>8.5528997477957058E-2</v>
      </c>
      <c r="F67" s="24">
        <f t="shared" si="2"/>
        <v>7.8216932926732735E-2</v>
      </c>
      <c r="G67" s="24">
        <f t="shared" si="2"/>
        <v>7.4117745223773665E-2</v>
      </c>
      <c r="H67" s="24">
        <f t="shared" si="2"/>
        <v>6.9732352973986361E-2</v>
      </c>
      <c r="I67" s="24">
        <f t="shared" si="2"/>
        <v>7.3885686026490982E-2</v>
      </c>
      <c r="J67" s="24">
        <f t="shared" si="2"/>
        <v>7.5836951753445028E-2</v>
      </c>
      <c r="K67" s="24">
        <f t="shared" si="2"/>
        <v>7.5836951753445028E-2</v>
      </c>
      <c r="L67" s="24">
        <f t="shared" si="2"/>
        <v>7.5836951753445028E-2</v>
      </c>
      <c r="M67" s="24">
        <f t="shared" si="2"/>
        <v>7.5836951753445028E-2</v>
      </c>
      <c r="N67" s="24">
        <f t="shared" si="2"/>
        <v>7.5836951753445028E-2</v>
      </c>
      <c r="O67" s="24">
        <f t="shared" si="2"/>
        <v>7.5836951753445028E-2</v>
      </c>
      <c r="P67" s="24">
        <f t="shared" si="2"/>
        <v>7.5836951753445028E-2</v>
      </c>
      <c r="Q67" s="24">
        <f t="shared" si="2"/>
        <v>7.5836951753445028E-2</v>
      </c>
      <c r="R67" s="24">
        <f t="shared" si="2"/>
        <v>7.5836951753445028E-2</v>
      </c>
      <c r="S67" s="24">
        <f t="shared" si="2"/>
        <v>7.5836951753445028E-2</v>
      </c>
      <c r="T67" s="24">
        <f t="shared" si="2"/>
        <v>7.5836951753445028E-2</v>
      </c>
      <c r="V67" t="s">
        <v>187</v>
      </c>
    </row>
    <row r="68" spans="1:22" x14ac:dyDescent="0.25">
      <c r="B68" t="s">
        <v>171</v>
      </c>
      <c r="C68" s="24">
        <f>C65</f>
        <v>0.115</v>
      </c>
      <c r="D68" s="24">
        <f t="shared" ref="D68:T68" si="3">D65</f>
        <v>0.115</v>
      </c>
      <c r="E68" s="24">
        <f t="shared" si="3"/>
        <v>0.15883956674477739</v>
      </c>
      <c r="F68" s="24">
        <f t="shared" si="3"/>
        <v>0.14526001829250365</v>
      </c>
      <c r="G68" s="24">
        <f t="shared" si="3"/>
        <v>0.1376472411298654</v>
      </c>
      <c r="H68" s="24">
        <f t="shared" si="3"/>
        <v>0.12950294123740322</v>
      </c>
      <c r="I68" s="24">
        <f t="shared" si="3"/>
        <v>0.13721627404919756</v>
      </c>
      <c r="J68" s="24">
        <f t="shared" si="3"/>
        <v>0.14084005325639792</v>
      </c>
      <c r="K68" s="24">
        <f t="shared" si="3"/>
        <v>0.14084005325639792</v>
      </c>
      <c r="L68" s="24">
        <f t="shared" si="3"/>
        <v>0.14084005325639792</v>
      </c>
      <c r="M68" s="24">
        <f t="shared" si="3"/>
        <v>0.14084005325639792</v>
      </c>
      <c r="N68" s="24">
        <f t="shared" si="3"/>
        <v>0.14084005325639792</v>
      </c>
      <c r="O68" s="24">
        <f t="shared" si="3"/>
        <v>0.14084005325639792</v>
      </c>
      <c r="P68" s="24">
        <f t="shared" si="3"/>
        <v>0.14084005325639792</v>
      </c>
      <c r="Q68" s="24">
        <f t="shared" si="3"/>
        <v>0.14084005325639792</v>
      </c>
      <c r="R68" s="24">
        <f t="shared" si="3"/>
        <v>0.14084005325639792</v>
      </c>
      <c r="S68" s="24">
        <f t="shared" si="3"/>
        <v>0.14084005325639792</v>
      </c>
      <c r="T68" s="24">
        <f t="shared" si="3"/>
        <v>0.14084005325639792</v>
      </c>
      <c r="V68" t="s">
        <v>188</v>
      </c>
    </row>
    <row r="72" spans="1:22" x14ac:dyDescent="0.25">
      <c r="A72" s="1" t="s">
        <v>189</v>
      </c>
    </row>
    <row r="73" spans="1:22" x14ac:dyDescent="0.25">
      <c r="A73" s="1" t="s">
        <v>167</v>
      </c>
    </row>
    <row r="74" spans="1:22" x14ac:dyDescent="0.25">
      <c r="C74" s="61">
        <v>2023</v>
      </c>
      <c r="D74" s="61">
        <v>2024</v>
      </c>
      <c r="E74" s="61">
        <v>2025</v>
      </c>
      <c r="F74" s="61">
        <v>2026</v>
      </c>
      <c r="G74" s="61">
        <v>2027</v>
      </c>
      <c r="H74" s="61">
        <v>2028</v>
      </c>
      <c r="I74" s="61">
        <v>2029</v>
      </c>
      <c r="J74" s="61">
        <v>2030</v>
      </c>
      <c r="K74" s="61">
        <v>2031</v>
      </c>
      <c r="L74" s="61">
        <v>2032</v>
      </c>
      <c r="M74" s="61">
        <v>2033</v>
      </c>
      <c r="N74" s="61">
        <v>2034</v>
      </c>
      <c r="O74" s="61">
        <v>2035</v>
      </c>
      <c r="P74" s="61">
        <v>2036</v>
      </c>
      <c r="Q74" s="61">
        <v>2037</v>
      </c>
      <c r="R74" s="61">
        <v>2038</v>
      </c>
      <c r="S74" s="61">
        <v>2039</v>
      </c>
      <c r="T74" s="61">
        <v>2040</v>
      </c>
    </row>
    <row r="75" spans="1:22" x14ac:dyDescent="0.25">
      <c r="A75" t="s">
        <v>167</v>
      </c>
      <c r="C75" s="62"/>
      <c r="D75" s="63">
        <v>0.02</v>
      </c>
      <c r="E75" s="63">
        <v>0.02</v>
      </c>
      <c r="F75" s="63">
        <v>0.02</v>
      </c>
      <c r="G75" s="63">
        <v>0.02</v>
      </c>
      <c r="H75" s="63">
        <v>0.02</v>
      </c>
      <c r="I75" s="63">
        <v>0.02</v>
      </c>
      <c r="J75" s="63">
        <v>0.02</v>
      </c>
      <c r="K75" s="63">
        <v>0.02</v>
      </c>
      <c r="L75" s="63">
        <v>0.02</v>
      </c>
      <c r="M75" s="63">
        <v>0.02</v>
      </c>
      <c r="N75" s="63">
        <v>0.02</v>
      </c>
      <c r="O75" s="63">
        <v>0.02</v>
      </c>
      <c r="P75" s="63">
        <v>0.02</v>
      </c>
      <c r="Q75" s="63">
        <v>0.02</v>
      </c>
      <c r="R75" s="63">
        <v>0.02</v>
      </c>
      <c r="S75" s="63">
        <v>0.02</v>
      </c>
      <c r="T75" s="63">
        <v>0.02</v>
      </c>
    </row>
    <row r="76" spans="1:22" x14ac:dyDescent="0.25">
      <c r="A76" t="s">
        <v>190</v>
      </c>
      <c r="C76" s="64">
        <f>0.208*365</f>
        <v>75.92</v>
      </c>
      <c r="D76" s="65">
        <f>C76*(1+D75)</f>
        <v>77.438400000000001</v>
      </c>
      <c r="E76" s="65">
        <f t="shared" ref="E76:T76" si="4">D76*(1+E75)</f>
        <v>78.987167999999997</v>
      </c>
      <c r="F76" s="65">
        <f t="shared" si="4"/>
        <v>80.566911359999992</v>
      </c>
      <c r="G76" s="65">
        <f t="shared" si="4"/>
        <v>82.1782495872</v>
      </c>
      <c r="H76" s="65">
        <f t="shared" si="4"/>
        <v>83.821814578944</v>
      </c>
      <c r="I76" s="65">
        <f t="shared" si="4"/>
        <v>85.498250870522881</v>
      </c>
      <c r="J76" s="65">
        <f t="shared" si="4"/>
        <v>87.208215887933335</v>
      </c>
      <c r="K76" s="65">
        <f t="shared" si="4"/>
        <v>88.952380205692009</v>
      </c>
      <c r="L76" s="65">
        <f t="shared" si="4"/>
        <v>90.731427809805851</v>
      </c>
      <c r="M76" s="65">
        <f t="shared" si="4"/>
        <v>92.546056366001963</v>
      </c>
      <c r="N76" s="65">
        <f t="shared" si="4"/>
        <v>94.396977493321998</v>
      </c>
      <c r="O76" s="65">
        <f t="shared" si="4"/>
        <v>96.284917043188443</v>
      </c>
      <c r="P76" s="65">
        <f t="shared" si="4"/>
        <v>98.210615384052218</v>
      </c>
      <c r="Q76" s="65">
        <f t="shared" si="4"/>
        <v>100.17482769173327</v>
      </c>
      <c r="R76" s="65">
        <f t="shared" si="4"/>
        <v>102.17832424556794</v>
      </c>
      <c r="S76" s="65">
        <f t="shared" si="4"/>
        <v>104.2218907304793</v>
      </c>
      <c r="T76" s="65">
        <f t="shared" si="4"/>
        <v>106.30632854508889</v>
      </c>
      <c r="U76" t="s">
        <v>191</v>
      </c>
    </row>
    <row r="77" spans="1:22" x14ac:dyDescent="0.25">
      <c r="A77" t="s">
        <v>192</v>
      </c>
      <c r="C77" s="64">
        <f>0.567*365</f>
        <v>206.95499999999998</v>
      </c>
      <c r="D77" s="65">
        <f>C77*(1+D75)</f>
        <v>211.0941</v>
      </c>
      <c r="E77" s="65">
        <f t="shared" ref="E77:T77" si="5">D77*(1+E75)</f>
        <v>215.31598199999999</v>
      </c>
      <c r="F77" s="65">
        <f t="shared" si="5"/>
        <v>219.62230163999999</v>
      </c>
      <c r="G77" s="65">
        <f t="shared" si="5"/>
        <v>224.01474767279998</v>
      </c>
      <c r="H77" s="65">
        <f t="shared" si="5"/>
        <v>228.49504262625598</v>
      </c>
      <c r="I77" s="65">
        <f t="shared" si="5"/>
        <v>233.06494347878112</v>
      </c>
      <c r="J77" s="65">
        <f t="shared" si="5"/>
        <v>237.72624234835675</v>
      </c>
      <c r="K77" s="65">
        <f t="shared" si="5"/>
        <v>242.48076719532389</v>
      </c>
      <c r="L77" s="65">
        <f t="shared" si="5"/>
        <v>247.33038253923038</v>
      </c>
      <c r="M77" s="65">
        <f t="shared" si="5"/>
        <v>252.276990190015</v>
      </c>
      <c r="N77" s="65">
        <f t="shared" si="5"/>
        <v>257.32252999381529</v>
      </c>
      <c r="O77" s="65">
        <f t="shared" si="5"/>
        <v>262.46898059369158</v>
      </c>
      <c r="P77" s="65">
        <f t="shared" si="5"/>
        <v>267.71836020556543</v>
      </c>
      <c r="Q77" s="65">
        <f t="shared" si="5"/>
        <v>273.07272740967676</v>
      </c>
      <c r="R77" s="65">
        <f t="shared" si="5"/>
        <v>278.53418195787032</v>
      </c>
      <c r="S77" s="65">
        <f t="shared" si="5"/>
        <v>284.10486559702775</v>
      </c>
      <c r="T77" s="65">
        <f t="shared" si="5"/>
        <v>289.78696290896829</v>
      </c>
      <c r="U77" t="s">
        <v>193</v>
      </c>
    </row>
    <row r="78" spans="1:22" x14ac:dyDescent="0.25">
      <c r="A78" t="s">
        <v>194</v>
      </c>
      <c r="C78" s="65">
        <f>SUM(C76:C77)</f>
        <v>282.875</v>
      </c>
      <c r="D78" s="65">
        <f>SUM(D76:D77)</f>
        <v>288.53250000000003</v>
      </c>
      <c r="E78" s="65">
        <f t="shared" ref="E78:T78" si="6">SUM(E76:E77)</f>
        <v>294.30314999999996</v>
      </c>
      <c r="F78" s="65">
        <f t="shared" si="6"/>
        <v>300.189213</v>
      </c>
      <c r="G78" s="65">
        <f t="shared" si="6"/>
        <v>306.19299725999997</v>
      </c>
      <c r="H78" s="65">
        <f t="shared" si="6"/>
        <v>312.31685720519999</v>
      </c>
      <c r="I78" s="65">
        <f t="shared" si="6"/>
        <v>318.56319434930401</v>
      </c>
      <c r="J78" s="65">
        <f t="shared" si="6"/>
        <v>324.93445823629008</v>
      </c>
      <c r="K78" s="65">
        <f t="shared" si="6"/>
        <v>331.4331474010159</v>
      </c>
      <c r="L78" s="65">
        <f t="shared" si="6"/>
        <v>338.06181034903625</v>
      </c>
      <c r="M78" s="65">
        <f t="shared" si="6"/>
        <v>344.82304655601695</v>
      </c>
      <c r="N78" s="65">
        <f t="shared" si="6"/>
        <v>351.71950748713732</v>
      </c>
      <c r="O78" s="65">
        <f t="shared" si="6"/>
        <v>358.75389763688003</v>
      </c>
      <c r="P78" s="65">
        <f t="shared" si="6"/>
        <v>365.92897558961766</v>
      </c>
      <c r="Q78" s="65">
        <f t="shared" si="6"/>
        <v>373.24755510141006</v>
      </c>
      <c r="R78" s="65">
        <f t="shared" si="6"/>
        <v>380.71250620343824</v>
      </c>
      <c r="S78" s="65">
        <f t="shared" si="6"/>
        <v>388.32675632750704</v>
      </c>
      <c r="T78" s="65">
        <f t="shared" si="6"/>
        <v>396.09329145405718</v>
      </c>
    </row>
    <row r="80" spans="1:22" hidden="1" x14ac:dyDescent="0.25">
      <c r="A80" s="1" t="s">
        <v>195</v>
      </c>
    </row>
    <row r="81" spans="1:5" hidden="1" x14ac:dyDescent="0.25">
      <c r="B81" t="s">
        <v>149</v>
      </c>
      <c r="C81" t="s">
        <v>156</v>
      </c>
    </row>
    <row r="82" spans="1:5" hidden="1" x14ac:dyDescent="0.25">
      <c r="A82" t="s">
        <v>196</v>
      </c>
      <c r="B82">
        <v>1200</v>
      </c>
      <c r="C82">
        <v>2900</v>
      </c>
    </row>
    <row r="83" spans="1:5" hidden="1" x14ac:dyDescent="0.25">
      <c r="A83" t="s">
        <v>197</v>
      </c>
      <c r="B83" s="24">
        <v>1.45</v>
      </c>
      <c r="C83" s="24">
        <v>0.4</v>
      </c>
    </row>
    <row r="84" spans="1:5" hidden="1" x14ac:dyDescent="0.25">
      <c r="A84" t="s">
        <v>76</v>
      </c>
      <c r="C84" s="37">
        <f>C83/(B83/9.5)</f>
        <v>2.6206896551724137</v>
      </c>
    </row>
    <row r="85" spans="1:5" hidden="1" x14ac:dyDescent="0.25">
      <c r="C85" s="37"/>
    </row>
    <row r="86" spans="1:5" hidden="1" x14ac:dyDescent="0.25">
      <c r="C86" s="37"/>
    </row>
    <row r="87" spans="1:5" hidden="1" x14ac:dyDescent="0.25">
      <c r="A87" s="1" t="s">
        <v>198</v>
      </c>
    </row>
    <row r="88" spans="1:5" hidden="1" x14ac:dyDescent="0.25">
      <c r="A88" t="s">
        <v>199</v>
      </c>
      <c r="C88">
        <v>37</v>
      </c>
      <c r="E88" t="s">
        <v>200</v>
      </c>
    </row>
    <row r="89" spans="1:5" hidden="1" x14ac:dyDescent="0.25">
      <c r="A89" t="s">
        <v>201</v>
      </c>
      <c r="C89" s="52">
        <v>39.158353379774148</v>
      </c>
      <c r="E89" t="s">
        <v>200</v>
      </c>
    </row>
    <row r="90" spans="1:5" hidden="1" x14ac:dyDescent="0.25">
      <c r="A90" t="s">
        <v>202</v>
      </c>
      <c r="C90" s="52">
        <v>47.381607589526716</v>
      </c>
      <c r="E90" t="s">
        <v>200</v>
      </c>
    </row>
    <row r="93" spans="1:5" x14ac:dyDescent="0.25">
      <c r="B93" s="9"/>
    </row>
  </sheetData>
  <pageMargins left="0.7" right="0.7" top="0.75" bottom="0.75" header="0.3" footer="0.3"/>
  <pageSetup paperSize="9" firstPageNumber="4294967295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80"/>
  <sheetViews>
    <sheetView topLeftCell="A26" zoomScale="120" zoomScaleNormal="120" workbookViewId="0">
      <selection activeCell="B48" sqref="B48"/>
    </sheetView>
  </sheetViews>
  <sheetFormatPr defaultColWidth="8.85546875" defaultRowHeight="15" x14ac:dyDescent="0.25"/>
  <cols>
    <col min="1" max="1" width="32.42578125" customWidth="1"/>
    <col min="2" max="2" width="15.140625" customWidth="1"/>
    <col min="3" max="3" width="10.7109375" bestFit="1" customWidth="1"/>
    <col min="4" max="4" width="10.42578125" bestFit="1" customWidth="1"/>
    <col min="6" max="6" width="18.42578125" customWidth="1"/>
  </cols>
  <sheetData>
    <row r="1" spans="1:23" x14ac:dyDescent="0.25">
      <c r="A1" s="1" t="s">
        <v>203</v>
      </c>
      <c r="W1" s="1" t="s">
        <v>204</v>
      </c>
    </row>
    <row r="2" spans="1:23" x14ac:dyDescent="0.25">
      <c r="A2" t="s">
        <v>205</v>
      </c>
      <c r="B2" s="49">
        <v>0.02</v>
      </c>
      <c r="I2" t="s">
        <v>206</v>
      </c>
      <c r="W2" t="s">
        <v>30</v>
      </c>
    </row>
    <row r="3" spans="1:23" x14ac:dyDescent="0.25">
      <c r="W3" t="s">
        <v>31</v>
      </c>
    </row>
    <row r="4" spans="1:23" x14ac:dyDescent="0.25">
      <c r="A4" s="67" t="s">
        <v>207</v>
      </c>
    </row>
    <row r="5" spans="1:23" x14ac:dyDescent="0.25">
      <c r="A5" t="s">
        <v>21</v>
      </c>
      <c r="B5" s="9">
        <f>(135+126+176.32+135+112+150+24)/6</f>
        <v>143.05333333333331</v>
      </c>
      <c r="C5" t="s">
        <v>208</v>
      </c>
      <c r="I5" t="s">
        <v>209</v>
      </c>
    </row>
    <row r="6" spans="1:23" x14ac:dyDescent="0.25">
      <c r="A6" t="s">
        <v>210</v>
      </c>
      <c r="B6" s="89">
        <v>1840</v>
      </c>
      <c r="C6" t="s">
        <v>211</v>
      </c>
      <c r="I6" s="69" t="s">
        <v>212</v>
      </c>
    </row>
    <row r="7" spans="1:23" x14ac:dyDescent="0.25">
      <c r="A7" t="s">
        <v>70</v>
      </c>
      <c r="B7">
        <f>'Business case'!C6</f>
        <v>15</v>
      </c>
      <c r="C7" t="s">
        <v>213</v>
      </c>
    </row>
    <row r="9" spans="1:23" x14ac:dyDescent="0.25">
      <c r="A9" s="67" t="s">
        <v>214</v>
      </c>
    </row>
    <row r="10" spans="1:23" x14ac:dyDescent="0.25">
      <c r="A10" t="s">
        <v>215</v>
      </c>
    </row>
    <row r="11" spans="1:23" x14ac:dyDescent="0.25">
      <c r="B11" s="11" t="s">
        <v>216</v>
      </c>
      <c r="C11" s="11" t="s">
        <v>217</v>
      </c>
    </row>
    <row r="12" spans="1:23" x14ac:dyDescent="0.25">
      <c r="A12" t="s">
        <v>218</v>
      </c>
      <c r="B12" s="70">
        <v>0</v>
      </c>
      <c r="C12" s="24">
        <v>0.95</v>
      </c>
      <c r="I12" s="68" t="s">
        <v>314</v>
      </c>
    </row>
    <row r="13" spans="1:23" x14ac:dyDescent="0.25">
      <c r="A13" s="71" t="s">
        <v>219</v>
      </c>
      <c r="B13" s="70">
        <f>8*370*0.9</f>
        <v>2664</v>
      </c>
      <c r="C13" s="24">
        <v>0.95</v>
      </c>
      <c r="I13" s="68" t="s">
        <v>314</v>
      </c>
    </row>
    <row r="14" spans="1:23" x14ac:dyDescent="0.25">
      <c r="A14" s="71" t="s">
        <v>220</v>
      </c>
      <c r="B14" s="70">
        <f>14*370*0.9</f>
        <v>4662</v>
      </c>
      <c r="C14" s="24">
        <v>0.95</v>
      </c>
      <c r="I14" s="68" t="s">
        <v>314</v>
      </c>
    </row>
    <row r="15" spans="1:23" x14ac:dyDescent="0.25">
      <c r="A15" s="71"/>
      <c r="C15" s="24"/>
    </row>
    <row r="16" spans="1:23" x14ac:dyDescent="0.25">
      <c r="A16" t="s">
        <v>86</v>
      </c>
      <c r="B16">
        <v>15</v>
      </c>
      <c r="C16" t="s">
        <v>213</v>
      </c>
    </row>
    <row r="17" spans="1:9" x14ac:dyDescent="0.25">
      <c r="A17" t="s">
        <v>221</v>
      </c>
      <c r="B17" s="47">
        <v>0.17</v>
      </c>
      <c r="I17" t="s">
        <v>222</v>
      </c>
    </row>
    <row r="18" spans="1:9" x14ac:dyDescent="0.25">
      <c r="A18" t="s">
        <v>223</v>
      </c>
      <c r="B18" s="47">
        <v>0.4</v>
      </c>
      <c r="I18" t="s">
        <v>222</v>
      </c>
    </row>
    <row r="19" spans="1:9" x14ac:dyDescent="0.25">
      <c r="A19" t="s">
        <v>224</v>
      </c>
      <c r="B19" s="49">
        <v>-7.0000000000000001E-3</v>
      </c>
      <c r="I19" t="s">
        <v>225</v>
      </c>
    </row>
    <row r="20" spans="1:9" x14ac:dyDescent="0.25">
      <c r="A20" t="s">
        <v>33</v>
      </c>
      <c r="B20" s="9">
        <v>25</v>
      </c>
      <c r="I20" t="s">
        <v>226</v>
      </c>
    </row>
    <row r="22" spans="1:9" x14ac:dyDescent="0.25">
      <c r="A22" s="67" t="s">
        <v>227</v>
      </c>
    </row>
    <row r="23" spans="1:9" x14ac:dyDescent="0.25">
      <c r="A23" t="s">
        <v>228</v>
      </c>
      <c r="B23">
        <v>35</v>
      </c>
      <c r="C23" t="s">
        <v>229</v>
      </c>
      <c r="I23" t="s">
        <v>230</v>
      </c>
    </row>
    <row r="24" spans="1:9" x14ac:dyDescent="0.25">
      <c r="A24" t="s">
        <v>231</v>
      </c>
      <c r="B24">
        <v>45</v>
      </c>
      <c r="C24" s="47" t="s">
        <v>229</v>
      </c>
      <c r="I24" t="s">
        <v>230</v>
      </c>
    </row>
    <row r="25" spans="1:9" x14ac:dyDescent="0.25">
      <c r="B25" s="11" t="s">
        <v>232</v>
      </c>
      <c r="C25" s="6" t="s">
        <v>11</v>
      </c>
    </row>
    <row r="26" spans="1:9" x14ac:dyDescent="0.25">
      <c r="A26" t="s">
        <v>233</v>
      </c>
      <c r="B26" s="70">
        <v>0</v>
      </c>
      <c r="C26" s="47">
        <v>0.05</v>
      </c>
      <c r="I26" t="s">
        <v>234</v>
      </c>
    </row>
    <row r="27" spans="1:9" x14ac:dyDescent="0.25">
      <c r="B27" s="72">
        <v>2</v>
      </c>
      <c r="C27" s="73">
        <v>0.15</v>
      </c>
      <c r="E27" s="39"/>
      <c r="I27" t="s">
        <v>235</v>
      </c>
    </row>
    <row r="28" spans="1:9" x14ac:dyDescent="0.25">
      <c r="B28" s="70">
        <v>3</v>
      </c>
      <c r="C28" s="47">
        <v>0.3</v>
      </c>
      <c r="I28" s="74" t="s">
        <v>236</v>
      </c>
    </row>
    <row r="29" spans="1:9" x14ac:dyDescent="0.25">
      <c r="B29" s="70">
        <v>4</v>
      </c>
      <c r="C29" s="47">
        <v>0.4</v>
      </c>
      <c r="I29" s="74" t="s">
        <v>237</v>
      </c>
    </row>
    <row r="30" spans="1:9" x14ac:dyDescent="0.25">
      <c r="B30" s="70">
        <v>5</v>
      </c>
      <c r="C30" s="47">
        <v>0.5</v>
      </c>
      <c r="I30" s="74" t="s">
        <v>238</v>
      </c>
    </row>
    <row r="31" spans="1:9" x14ac:dyDescent="0.25">
      <c r="A31" t="s">
        <v>239</v>
      </c>
      <c r="B31" t="s">
        <v>240</v>
      </c>
      <c r="C31" t="s">
        <v>241</v>
      </c>
      <c r="D31" t="s">
        <v>11</v>
      </c>
    </row>
    <row r="32" spans="1:9" x14ac:dyDescent="0.25">
      <c r="B32" s="70">
        <v>0</v>
      </c>
      <c r="C32" s="70">
        <v>5</v>
      </c>
      <c r="D32" s="73">
        <v>0</v>
      </c>
      <c r="I32" s="75" t="s">
        <v>242</v>
      </c>
    </row>
    <row r="33" spans="1:9" x14ac:dyDescent="0.25">
      <c r="B33" s="70">
        <v>6</v>
      </c>
      <c r="C33" s="70">
        <v>10</v>
      </c>
      <c r="D33" s="47">
        <v>0.05</v>
      </c>
      <c r="I33" s="75" t="s">
        <v>242</v>
      </c>
    </row>
    <row r="34" spans="1:9" x14ac:dyDescent="0.25">
      <c r="B34" s="70">
        <v>11</v>
      </c>
      <c r="C34" s="70">
        <v>15</v>
      </c>
      <c r="D34" s="47">
        <v>0.05</v>
      </c>
      <c r="I34" s="75" t="s">
        <v>242</v>
      </c>
    </row>
    <row r="35" spans="1:9" x14ac:dyDescent="0.25">
      <c r="B35" s="70">
        <v>16</v>
      </c>
      <c r="C35" s="70">
        <v>25</v>
      </c>
      <c r="D35" s="47">
        <v>0.1</v>
      </c>
      <c r="I35" s="75" t="s">
        <v>242</v>
      </c>
    </row>
    <row r="36" spans="1:9" x14ac:dyDescent="0.25">
      <c r="B36" s="70">
        <v>26</v>
      </c>
      <c r="C36" s="70">
        <v>100</v>
      </c>
      <c r="D36" s="47">
        <v>0.15</v>
      </c>
      <c r="I36" s="75" t="s">
        <v>242</v>
      </c>
    </row>
    <row r="37" spans="1:9" x14ac:dyDescent="0.25">
      <c r="A37" t="s">
        <v>243</v>
      </c>
      <c r="B37" s="90">
        <v>45</v>
      </c>
      <c r="C37" t="s">
        <v>244</v>
      </c>
      <c r="I37" t="s">
        <v>230</v>
      </c>
    </row>
    <row r="38" spans="1:9" x14ac:dyDescent="0.25">
      <c r="A38" t="s">
        <v>245</v>
      </c>
      <c r="B38" s="76">
        <v>5.5</v>
      </c>
      <c r="C38" t="s">
        <v>121</v>
      </c>
      <c r="I38" t="s">
        <v>230</v>
      </c>
    </row>
    <row r="39" spans="1:9" x14ac:dyDescent="0.25">
      <c r="A39" t="s">
        <v>245</v>
      </c>
      <c r="B39" s="76">
        <v>8.25</v>
      </c>
      <c r="C39" t="s">
        <v>121</v>
      </c>
      <c r="I39" t="s">
        <v>230</v>
      </c>
    </row>
    <row r="40" spans="1:9" x14ac:dyDescent="0.25">
      <c r="A40" t="s">
        <v>246</v>
      </c>
      <c r="B40" t="s">
        <v>240</v>
      </c>
      <c r="C40" t="s">
        <v>241</v>
      </c>
      <c r="D40" t="s">
        <v>11</v>
      </c>
    </row>
    <row r="41" spans="1:9" x14ac:dyDescent="0.25">
      <c r="B41" s="70">
        <v>0</v>
      </c>
      <c r="C41" s="70">
        <v>5</v>
      </c>
      <c r="D41" s="73">
        <v>0.1</v>
      </c>
      <c r="I41" t="s">
        <v>247</v>
      </c>
    </row>
    <row r="42" spans="1:9" x14ac:dyDescent="0.25">
      <c r="B42" s="70">
        <v>6</v>
      </c>
      <c r="C42" s="70">
        <v>10</v>
      </c>
      <c r="D42" s="47">
        <v>0.1</v>
      </c>
      <c r="I42" t="s">
        <v>247</v>
      </c>
    </row>
    <row r="43" spans="1:9" x14ac:dyDescent="0.25">
      <c r="B43" s="70">
        <v>11</v>
      </c>
      <c r="C43" s="70">
        <v>20</v>
      </c>
      <c r="D43" s="47">
        <v>0.15</v>
      </c>
      <c r="I43" t="s">
        <v>247</v>
      </c>
    </row>
    <row r="44" spans="1:9" x14ac:dyDescent="0.25">
      <c r="B44" s="70">
        <v>21</v>
      </c>
      <c r="C44" s="70">
        <v>100</v>
      </c>
      <c r="D44" s="47">
        <v>0.2</v>
      </c>
      <c r="I44" t="s">
        <v>247</v>
      </c>
    </row>
    <row r="45" spans="1:9" x14ac:dyDescent="0.25">
      <c r="A45" t="s">
        <v>248</v>
      </c>
      <c r="B45" s="77">
        <v>0.1</v>
      </c>
      <c r="I45" t="s">
        <v>230</v>
      </c>
    </row>
    <row r="46" spans="1:9" x14ac:dyDescent="0.25">
      <c r="A46" t="s">
        <v>249</v>
      </c>
      <c r="B46" s="77">
        <v>0.2</v>
      </c>
      <c r="I46" t="s">
        <v>230</v>
      </c>
    </row>
    <row r="47" spans="1:9" x14ac:dyDescent="0.25">
      <c r="A47" t="s">
        <v>250</v>
      </c>
      <c r="B47" s="53">
        <f>195*1.21</f>
        <v>235.95</v>
      </c>
      <c r="C47" t="s">
        <v>244</v>
      </c>
      <c r="I47" t="s">
        <v>230</v>
      </c>
    </row>
    <row r="48" spans="1:9" x14ac:dyDescent="0.25">
      <c r="A48" t="s">
        <v>251</v>
      </c>
      <c r="B48" s="73">
        <f>'Business case'!D18</f>
        <v>0.15</v>
      </c>
      <c r="I48" t="s">
        <v>252</v>
      </c>
    </row>
    <row r="49" spans="1:9" x14ac:dyDescent="0.25">
      <c r="A49" t="s">
        <v>253</v>
      </c>
      <c r="B49" t="s">
        <v>254</v>
      </c>
      <c r="C49" s="73" t="s">
        <v>255</v>
      </c>
      <c r="D49" t="s">
        <v>256</v>
      </c>
      <c r="E49" t="s">
        <v>257</v>
      </c>
    </row>
    <row r="50" spans="1:9" x14ac:dyDescent="0.25">
      <c r="B50" s="76">
        <v>0</v>
      </c>
      <c r="C50" s="78">
        <v>4.5</v>
      </c>
      <c r="D50" s="9">
        <f>7077*1.21</f>
        <v>8563.17</v>
      </c>
      <c r="E50" s="9">
        <f t="shared" ref="E50:E72" si="0">D50*1.4</f>
        <v>11988.438</v>
      </c>
      <c r="I50" t="s">
        <v>258</v>
      </c>
    </row>
    <row r="51" spans="1:9" x14ac:dyDescent="0.25">
      <c r="B51" s="38">
        <f t="shared" ref="B51:B53" si="1">C50+0.1</f>
        <v>4.5999999999999996</v>
      </c>
      <c r="C51" s="78">
        <v>6</v>
      </c>
      <c r="D51" s="9">
        <f>8720*1.21</f>
        <v>10551.199999999999</v>
      </c>
      <c r="E51" s="9">
        <f t="shared" si="0"/>
        <v>14771.679999999997</v>
      </c>
      <c r="I51" t="s">
        <v>259</v>
      </c>
    </row>
    <row r="52" spans="1:9" x14ac:dyDescent="0.25">
      <c r="B52" s="38">
        <f t="shared" si="1"/>
        <v>6.1</v>
      </c>
      <c r="C52" s="78">
        <v>8</v>
      </c>
      <c r="D52" s="9">
        <f>9115*1.21</f>
        <v>11029.15</v>
      </c>
      <c r="E52" s="9">
        <f t="shared" si="0"/>
        <v>15440.809999999998</v>
      </c>
      <c r="F52" s="9"/>
      <c r="I52" t="s">
        <v>259</v>
      </c>
    </row>
    <row r="53" spans="1:9" x14ac:dyDescent="0.25">
      <c r="B53" s="38">
        <f t="shared" si="1"/>
        <v>8.1</v>
      </c>
      <c r="C53" s="78">
        <v>12</v>
      </c>
      <c r="D53" s="9">
        <f>10512*1.21</f>
        <v>12719.52</v>
      </c>
      <c r="E53" s="9">
        <f t="shared" si="0"/>
        <v>17807.327999999998</v>
      </c>
      <c r="I53" t="s">
        <v>259</v>
      </c>
    </row>
    <row r="54" spans="1:9" x14ac:dyDescent="0.25">
      <c r="B54" s="38">
        <f t="shared" ref="B54" si="2">C53+0.1</f>
        <v>12.1</v>
      </c>
      <c r="C54" s="78">
        <v>30</v>
      </c>
      <c r="D54" s="9">
        <f>34000*1.21</f>
        <v>41140</v>
      </c>
      <c r="E54" s="9">
        <f>D54*1.4</f>
        <v>57595.999999999993</v>
      </c>
      <c r="I54" s="68" t="s">
        <v>316</v>
      </c>
    </row>
    <row r="55" spans="1:9" x14ac:dyDescent="0.25">
      <c r="A55" t="s">
        <v>260</v>
      </c>
      <c r="B55" s="79">
        <v>17000</v>
      </c>
      <c r="I55" t="s">
        <v>261</v>
      </c>
    </row>
    <row r="56" spans="1:9" x14ac:dyDescent="0.25">
      <c r="A56" t="s">
        <v>50</v>
      </c>
      <c r="B56" s="70">
        <f>(265+270+245)/3</f>
        <v>260</v>
      </c>
      <c r="C56" t="s">
        <v>121</v>
      </c>
      <c r="I56" t="s">
        <v>262</v>
      </c>
    </row>
    <row r="58" spans="1:9" x14ac:dyDescent="0.25">
      <c r="A58" t="s">
        <v>263</v>
      </c>
      <c r="B58" s="9">
        <v>4200</v>
      </c>
      <c r="I58" t="s">
        <v>264</v>
      </c>
    </row>
    <row r="59" spans="1:9" x14ac:dyDescent="0.25">
      <c r="A59" s="68" t="s">
        <v>317</v>
      </c>
      <c r="B59" s="9">
        <v>6400</v>
      </c>
      <c r="I59" t="s">
        <v>264</v>
      </c>
    </row>
    <row r="60" spans="1:9" x14ac:dyDescent="0.25">
      <c r="A60" t="s">
        <v>117</v>
      </c>
      <c r="B60" t="s">
        <v>265</v>
      </c>
      <c r="I60" t="s">
        <v>266</v>
      </c>
    </row>
    <row r="62" spans="1:9" x14ac:dyDescent="0.25">
      <c r="A62" t="s">
        <v>27</v>
      </c>
      <c r="B62" s="89">
        <v>150</v>
      </c>
      <c r="C62" t="s">
        <v>208</v>
      </c>
      <c r="E62" t="s">
        <v>267</v>
      </c>
      <c r="I62" s="80" t="s">
        <v>268</v>
      </c>
    </row>
    <row r="63" spans="1:9" x14ac:dyDescent="0.25">
      <c r="A63" t="s">
        <v>269</v>
      </c>
      <c r="B63" s="70">
        <v>15</v>
      </c>
      <c r="C63" t="s">
        <v>213</v>
      </c>
      <c r="E63" t="s">
        <v>270</v>
      </c>
      <c r="I63" t="s">
        <v>271</v>
      </c>
    </row>
    <row r="64" spans="1:9" x14ac:dyDescent="0.25">
      <c r="E64" t="s">
        <v>272</v>
      </c>
      <c r="I64" t="s">
        <v>273</v>
      </c>
    </row>
    <row r="65" spans="1:9" x14ac:dyDescent="0.25">
      <c r="I65" t="s">
        <v>274</v>
      </c>
    </row>
    <row r="66" spans="1:9" x14ac:dyDescent="0.25">
      <c r="I66" t="s">
        <v>275</v>
      </c>
    </row>
    <row r="67" spans="1:9" x14ac:dyDescent="0.25">
      <c r="A67" s="67" t="s">
        <v>276</v>
      </c>
    </row>
    <row r="68" spans="1:9" x14ac:dyDescent="0.25">
      <c r="A68" s="1" t="s">
        <v>253</v>
      </c>
      <c r="B68" t="s">
        <v>254</v>
      </c>
      <c r="C68" s="73" t="s">
        <v>255</v>
      </c>
      <c r="D68" t="s">
        <v>256</v>
      </c>
      <c r="E68" t="s">
        <v>257</v>
      </c>
    </row>
    <row r="69" spans="1:9" x14ac:dyDescent="0.25">
      <c r="A69" s="1"/>
      <c r="B69">
        <v>0</v>
      </c>
      <c r="C69">
        <v>4</v>
      </c>
      <c r="D69" s="9">
        <v>6615</v>
      </c>
      <c r="E69" s="9">
        <f t="shared" si="0"/>
        <v>9261</v>
      </c>
      <c r="I69" t="s">
        <v>277</v>
      </c>
    </row>
    <row r="70" spans="1:9" x14ac:dyDescent="0.25">
      <c r="A70" s="1"/>
      <c r="B70">
        <f t="shared" ref="B70:B72" si="3">C69+0.1</f>
        <v>4.0999999999999996</v>
      </c>
      <c r="C70">
        <v>6</v>
      </c>
      <c r="D70" s="9">
        <v>7830.666666666667</v>
      </c>
      <c r="E70" s="9">
        <f t="shared" si="0"/>
        <v>10962.933333333332</v>
      </c>
      <c r="I70" t="s">
        <v>277</v>
      </c>
    </row>
    <row r="71" spans="1:9" x14ac:dyDescent="0.25">
      <c r="A71" s="1"/>
      <c r="B71">
        <f t="shared" si="3"/>
        <v>6.1</v>
      </c>
      <c r="C71">
        <v>8</v>
      </c>
      <c r="D71" s="9">
        <v>8349.5</v>
      </c>
      <c r="E71" s="9">
        <f t="shared" si="0"/>
        <v>11689.3</v>
      </c>
      <c r="I71" t="s">
        <v>277</v>
      </c>
    </row>
    <row r="72" spans="1:9" x14ac:dyDescent="0.25">
      <c r="A72" s="1"/>
      <c r="B72">
        <f t="shared" si="3"/>
        <v>8.1</v>
      </c>
      <c r="C72">
        <v>10.5</v>
      </c>
      <c r="D72" s="9">
        <v>11119</v>
      </c>
      <c r="E72" s="9">
        <f t="shared" si="0"/>
        <v>15566.599999999999</v>
      </c>
      <c r="I72" t="s">
        <v>277</v>
      </c>
    </row>
    <row r="73" spans="1:9" x14ac:dyDescent="0.25">
      <c r="A73" t="s">
        <v>260</v>
      </c>
      <c r="B73" s="79">
        <f>8000*1.4</f>
        <v>11200</v>
      </c>
      <c r="E73" t="s">
        <v>278</v>
      </c>
      <c r="I73" t="s">
        <v>279</v>
      </c>
    </row>
    <row r="74" spans="1:9" x14ac:dyDescent="0.25">
      <c r="A74" t="s">
        <v>263</v>
      </c>
      <c r="B74" s="9">
        <v>2850</v>
      </c>
      <c r="E74" t="s">
        <v>280</v>
      </c>
      <c r="I74" s="81" t="s">
        <v>281</v>
      </c>
    </row>
    <row r="75" spans="1:9" x14ac:dyDescent="0.25">
      <c r="A75" t="s">
        <v>117</v>
      </c>
      <c r="B75" t="s">
        <v>265</v>
      </c>
    </row>
    <row r="77" spans="1:9" x14ac:dyDescent="0.25">
      <c r="A77" t="s">
        <v>27</v>
      </c>
      <c r="B77" s="89">
        <v>215</v>
      </c>
      <c r="C77" t="s">
        <v>208</v>
      </c>
      <c r="E77" t="s">
        <v>267</v>
      </c>
      <c r="I77" s="80" t="s">
        <v>268</v>
      </c>
    </row>
    <row r="78" spans="1:9" x14ac:dyDescent="0.25">
      <c r="A78" t="s">
        <v>269</v>
      </c>
      <c r="B78" s="70">
        <v>15</v>
      </c>
      <c r="C78" t="s">
        <v>213</v>
      </c>
      <c r="E78" t="s">
        <v>282</v>
      </c>
    </row>
    <row r="80" spans="1:9" x14ac:dyDescent="0.25">
      <c r="A80" t="s">
        <v>283</v>
      </c>
      <c r="B80" s="9">
        <v>2580</v>
      </c>
      <c r="E80" t="s">
        <v>284</v>
      </c>
      <c r="I80" s="69" t="s">
        <v>285</v>
      </c>
    </row>
  </sheetData>
  <hyperlinks>
    <hyperlink ref="I6" r:id="rId1" xr:uid="{00000000-0004-0000-0500-000000000000}"/>
    <hyperlink ref="I62" r:id="rId2" xr:uid="{00000000-0004-0000-0500-000001000000}"/>
    <hyperlink ref="I74" r:id="rId3" xr:uid="{00000000-0004-0000-0500-000002000000}"/>
    <hyperlink ref="I77" r:id="rId4" xr:uid="{00000000-0004-0000-0500-000003000000}"/>
    <hyperlink ref="I80" r:id="rId5" xr:uid="{00000000-0004-0000-0500-000004000000}"/>
  </hyperlinks>
  <pageMargins left="0.7" right="0.7" top="0.75" bottom="0.75" header="0.3" footer="0.3"/>
  <pageSetup paperSize="9" firstPageNumber="4294967295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0"/>
  <sheetViews>
    <sheetView workbookViewId="0">
      <selection activeCell="B3" sqref="B3"/>
    </sheetView>
  </sheetViews>
  <sheetFormatPr defaultColWidth="8.85546875" defaultRowHeight="15" x14ac:dyDescent="0.25"/>
  <cols>
    <col min="1" max="1" width="27.140625" customWidth="1"/>
    <col min="2" max="7" width="15.85546875" customWidth="1"/>
    <col min="9" max="9" width="14" customWidth="1"/>
  </cols>
  <sheetData>
    <row r="1" spans="1:9" x14ac:dyDescent="0.25">
      <c r="A1" t="s">
        <v>286</v>
      </c>
      <c r="B1" s="66">
        <v>0.84</v>
      </c>
      <c r="D1" t="s">
        <v>287</v>
      </c>
    </row>
    <row r="3" spans="1:9" x14ac:dyDescent="0.25">
      <c r="A3" t="s">
        <v>90</v>
      </c>
      <c r="B3" t="s">
        <v>91</v>
      </c>
    </row>
    <row r="4" spans="1:9" ht="30" x14ac:dyDescent="0.25">
      <c r="A4" s="5" t="s">
        <v>97</v>
      </c>
      <c r="B4" s="5" t="s">
        <v>98</v>
      </c>
      <c r="C4" s="5" t="s">
        <v>99</v>
      </c>
      <c r="D4" s="5" t="s">
        <v>100</v>
      </c>
      <c r="E4" s="5" t="s">
        <v>87</v>
      </c>
      <c r="F4" s="5" t="s">
        <v>101</v>
      </c>
      <c r="G4" s="5" t="s">
        <v>102</v>
      </c>
      <c r="I4" t="s">
        <v>288</v>
      </c>
    </row>
    <row r="5" spans="1:9" x14ac:dyDescent="0.25">
      <c r="A5" t="s">
        <v>105</v>
      </c>
      <c r="B5" s="9">
        <v>1000</v>
      </c>
      <c r="C5">
        <v>310</v>
      </c>
      <c r="D5" s="9">
        <f t="shared" ref="D5:D15" si="0">B5-C5</f>
        <v>690</v>
      </c>
      <c r="E5" s="47">
        <v>0.04</v>
      </c>
      <c r="F5">
        <v>20</v>
      </c>
      <c r="G5" s="9">
        <f t="shared" ref="G5:G15" si="1">IFERROR(D5*(15/F5),0)</f>
        <v>517.5</v>
      </c>
      <c r="I5" t="s">
        <v>289</v>
      </c>
    </row>
    <row r="6" spans="1:9" x14ac:dyDescent="0.25">
      <c r="A6" t="s">
        <v>106</v>
      </c>
      <c r="B6" s="9">
        <v>2250</v>
      </c>
      <c r="C6">
        <v>530</v>
      </c>
      <c r="D6" s="9">
        <f t="shared" si="0"/>
        <v>1720</v>
      </c>
      <c r="E6" s="47">
        <v>3.3599999999999998E-2</v>
      </c>
      <c r="F6">
        <v>20</v>
      </c>
      <c r="G6" s="9">
        <f t="shared" si="1"/>
        <v>1290</v>
      </c>
      <c r="I6" t="s">
        <v>289</v>
      </c>
    </row>
    <row r="7" spans="1:9" x14ac:dyDescent="0.25">
      <c r="A7" t="s">
        <v>108</v>
      </c>
      <c r="B7" s="9">
        <v>1736</v>
      </c>
      <c r="D7" s="9">
        <f t="shared" si="0"/>
        <v>1736</v>
      </c>
      <c r="E7" s="47">
        <v>6.7199999999999996E-2</v>
      </c>
      <c r="F7">
        <v>20</v>
      </c>
      <c r="G7" s="9">
        <f t="shared" si="1"/>
        <v>1302</v>
      </c>
      <c r="I7" t="s">
        <v>290</v>
      </c>
    </row>
    <row r="8" spans="1:9" x14ac:dyDescent="0.25">
      <c r="A8" t="s">
        <v>109</v>
      </c>
      <c r="B8" s="9">
        <v>2450</v>
      </c>
      <c r="C8">
        <v>770</v>
      </c>
      <c r="D8" s="9">
        <f t="shared" si="0"/>
        <v>1680</v>
      </c>
      <c r="E8" s="47">
        <f>10%*$B$1</f>
        <v>8.4000000000000005E-2</v>
      </c>
      <c r="F8">
        <v>20</v>
      </c>
      <c r="G8" s="9">
        <f t="shared" si="1"/>
        <v>1260</v>
      </c>
      <c r="I8" t="s">
        <v>291</v>
      </c>
    </row>
    <row r="9" spans="1:9" x14ac:dyDescent="0.25">
      <c r="A9" t="s">
        <v>110</v>
      </c>
      <c r="B9" s="9">
        <v>3000</v>
      </c>
      <c r="C9">
        <f>C8*30%</f>
        <v>231</v>
      </c>
      <c r="D9" s="9">
        <f t="shared" si="0"/>
        <v>2769</v>
      </c>
      <c r="E9" s="47">
        <f>4%*$B$1</f>
        <v>3.3599999999999998E-2</v>
      </c>
      <c r="F9">
        <v>20</v>
      </c>
      <c r="G9" s="9">
        <f t="shared" si="1"/>
        <v>2076.75</v>
      </c>
      <c r="I9" t="s">
        <v>292</v>
      </c>
    </row>
    <row r="10" spans="1:9" x14ac:dyDescent="0.25">
      <c r="A10" t="s">
        <v>111</v>
      </c>
      <c r="B10" s="9">
        <v>500</v>
      </c>
      <c r="D10" s="9">
        <f t="shared" si="0"/>
        <v>500</v>
      </c>
      <c r="E10" s="47">
        <f>1.5%*$B$1</f>
        <v>1.2599999999999998E-2</v>
      </c>
      <c r="F10">
        <v>20</v>
      </c>
      <c r="G10" s="9">
        <f t="shared" si="1"/>
        <v>375</v>
      </c>
      <c r="I10" t="s">
        <v>293</v>
      </c>
    </row>
    <row r="11" spans="1:9" x14ac:dyDescent="0.25">
      <c r="A11" t="s">
        <v>112</v>
      </c>
      <c r="B11" s="9">
        <v>2250</v>
      </c>
      <c r="D11" s="9">
        <f t="shared" si="0"/>
        <v>2250</v>
      </c>
      <c r="E11" s="47">
        <f>8%*$B$1</f>
        <v>6.7199999999999996E-2</v>
      </c>
      <c r="F11">
        <v>20</v>
      </c>
      <c r="G11" s="9">
        <f t="shared" si="1"/>
        <v>1687.5</v>
      </c>
      <c r="I11" t="s">
        <v>294</v>
      </c>
    </row>
    <row r="12" spans="1:9" x14ac:dyDescent="0.25">
      <c r="A12" t="s">
        <v>113</v>
      </c>
      <c r="B12" s="9"/>
      <c r="D12" s="9">
        <f t="shared" si="0"/>
        <v>0</v>
      </c>
      <c r="G12" s="9">
        <f t="shared" si="1"/>
        <v>0</v>
      </c>
      <c r="I12" t="s">
        <v>295</v>
      </c>
    </row>
    <row r="13" spans="1:9" x14ac:dyDescent="0.25">
      <c r="A13" t="s">
        <v>114</v>
      </c>
      <c r="B13" s="9">
        <v>3500</v>
      </c>
      <c r="D13" s="9">
        <f t="shared" si="0"/>
        <v>3500</v>
      </c>
      <c r="E13" s="47">
        <f>4%*$B$1</f>
        <v>3.3599999999999998E-2</v>
      </c>
      <c r="F13">
        <v>20</v>
      </c>
      <c r="G13" s="9">
        <f t="shared" si="1"/>
        <v>2625</v>
      </c>
      <c r="I13" t="s">
        <v>296</v>
      </c>
    </row>
    <row r="14" spans="1:9" x14ac:dyDescent="0.25">
      <c r="A14" t="s">
        <v>115</v>
      </c>
      <c r="B14" s="9">
        <f>900*110%</f>
        <v>990.00000000000011</v>
      </c>
      <c r="C14">
        <v>400</v>
      </c>
      <c r="D14" s="9">
        <f t="shared" si="0"/>
        <v>590.00000000000011</v>
      </c>
      <c r="E14" s="8">
        <f>37/1200</f>
        <v>3.0833333333333334E-2</v>
      </c>
      <c r="F14">
        <v>15</v>
      </c>
      <c r="G14" s="9">
        <f t="shared" si="1"/>
        <v>590.00000000000011</v>
      </c>
      <c r="I14" t="s">
        <v>297</v>
      </c>
    </row>
    <row r="15" spans="1:9" x14ac:dyDescent="0.25">
      <c r="A15" t="s">
        <v>116</v>
      </c>
      <c r="B15" s="9">
        <v>389</v>
      </c>
      <c r="D15" s="9">
        <f t="shared" si="0"/>
        <v>389</v>
      </c>
      <c r="F15">
        <v>20</v>
      </c>
      <c r="G15" s="9">
        <f t="shared" si="1"/>
        <v>291.75</v>
      </c>
      <c r="I15" t="s">
        <v>298</v>
      </c>
    </row>
    <row r="16" spans="1:9" x14ac:dyDescent="0.25">
      <c r="A16" s="3" t="s">
        <v>36</v>
      </c>
      <c r="B16" s="17">
        <f>SUM(B5:B15)</f>
        <v>18065</v>
      </c>
      <c r="C16" s="17">
        <f>SUM(C5:C15)</f>
        <v>2241</v>
      </c>
      <c r="D16" s="17">
        <f>SUM(D5:D15)</f>
        <v>15824</v>
      </c>
      <c r="E16" s="42">
        <f>SUM(E5:E15)</f>
        <v>0.40263333333333334</v>
      </c>
      <c r="F16" s="3"/>
      <c r="G16" s="17">
        <f>SUM(G5:G15)</f>
        <v>12015.5</v>
      </c>
    </row>
    <row r="17" spans="1:3" x14ac:dyDescent="0.25">
      <c r="B17" s="9"/>
    </row>
    <row r="18" spans="1:3" x14ac:dyDescent="0.25">
      <c r="A18" s="169" t="s">
        <v>299</v>
      </c>
      <c r="B18" s="169"/>
      <c r="C18" s="169"/>
    </row>
    <row r="19" spans="1:3" x14ac:dyDescent="0.25">
      <c r="A19" s="169"/>
      <c r="B19" s="169"/>
      <c r="C19" s="169"/>
    </row>
    <row r="20" spans="1:3" x14ac:dyDescent="0.25">
      <c r="A20" s="169"/>
      <c r="B20" s="169"/>
      <c r="C20" s="169"/>
    </row>
  </sheetData>
  <mergeCells count="1">
    <mergeCell ref="A18:C20"/>
  </mergeCells>
  <pageMargins left="0.7" right="0.7" top="0.75" bottom="0.75" header="0.3" footer="0.3"/>
  <pageSetup paperSize="9" firstPageNumber="4294967295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A53E2B65C8C645909418C70DB8E096" ma:contentTypeVersion="13" ma:contentTypeDescription="Een nieuw document maken." ma:contentTypeScope="" ma:versionID="dc83e323ff2abfaeb21d05a333f71a8e">
  <xsd:schema xmlns:xsd="http://www.w3.org/2001/XMLSchema" xmlns:xs="http://www.w3.org/2001/XMLSchema" xmlns:p="http://schemas.microsoft.com/office/2006/metadata/properties" xmlns:ns2="28eaec1f-d796-4a72-9759-943c37572cb7" xmlns:ns3="96cec661-a602-436e-be64-a5796cc45b12" targetNamespace="http://schemas.microsoft.com/office/2006/metadata/properties" ma:root="true" ma:fieldsID="309f3aecbdc765cd2730c50064c6902f" ns2:_="" ns3:_="">
    <xsd:import namespace="28eaec1f-d796-4a72-9759-943c37572cb7"/>
    <xsd:import namespace="96cec661-a602-436e-be64-a5796cc45b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eaec1f-d796-4a72-9759-943c37572c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Afbeeldingtags" ma:readOnly="false" ma:fieldId="{5cf76f15-5ced-4ddc-b409-7134ff3c332f}" ma:taxonomyMulti="true" ma:sspId="40bb1e6f-27d4-4f26-b60e-d821eb4976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cec661-a602-436e-be64-a5796cc45b1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741695-4c1f-4821-b6cc-7c9d84348cd7}" ma:internalName="TaxCatchAll" ma:showField="CatchAllData" ma:web="96cec661-a602-436e-be64-a5796cc45b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8eaec1f-d796-4a72-9759-943c37572cb7">
      <Terms xmlns="http://schemas.microsoft.com/office/infopath/2007/PartnerControls"/>
    </lcf76f155ced4ddcb4097134ff3c332f>
    <TaxCatchAll xmlns="96cec661-a602-436e-be64-a5796cc45b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82DDB-7C7B-44F7-AA5B-6EF50DE1AC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eaec1f-d796-4a72-9759-943c37572cb7"/>
    <ds:schemaRef ds:uri="96cec661-a602-436e-be64-a5796cc45b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D344AB-1736-4AB8-8EA8-E49C7E0DD795}">
  <ds:schemaRefs>
    <ds:schemaRef ds:uri="http://purl.org/dc/elements/1.1/"/>
    <ds:schemaRef ds:uri="28eaec1f-d796-4a72-9759-943c37572cb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6cec661-a602-436e-be64-a5796cc45b12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BD676C8-2C80-4B31-95FC-32321CAC85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9</vt:i4>
      </vt:variant>
      <vt:variant>
        <vt:lpstr>Benoemde bereiken</vt:lpstr>
      </vt:variant>
      <vt:variant>
        <vt:i4>1</vt:i4>
      </vt:variant>
    </vt:vector>
  </HeadingPairs>
  <TitlesOfParts>
    <vt:vector size="10" baseType="lpstr">
      <vt:lpstr>Toelichting</vt:lpstr>
      <vt:lpstr>Samenvatting</vt:lpstr>
      <vt:lpstr>Oplossingen voor-nadelen</vt:lpstr>
      <vt:lpstr>Business case</vt:lpstr>
      <vt:lpstr>Investering</vt:lpstr>
      <vt:lpstr>Financiering</vt:lpstr>
      <vt:lpstr>Prijzen</vt:lpstr>
      <vt:lpstr>Kengetallen</vt:lpstr>
      <vt:lpstr>Isolatie+</vt:lpstr>
      <vt:lpstr>'Business case'!Afdrukbereik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Gerbert</dc:creator>
  <cp:lastModifiedBy>Yvonne Kleefkens</cp:lastModifiedBy>
  <cp:revision>1</cp:revision>
  <cp:lastPrinted>2025-09-08T07:45:35Z</cp:lastPrinted>
  <dcterms:created xsi:type="dcterms:W3CDTF">2023-01-03T12:29:48Z</dcterms:created>
  <dcterms:modified xsi:type="dcterms:W3CDTF">2025-09-08T08:16:49Z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0x0101005EA53E2B65C8C645909418C70DB8E096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